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updateLinks="never"/>
  <mc:AlternateContent xmlns:mc="http://schemas.openxmlformats.org/markup-compatibility/2006">
    <mc:Choice Requires="x15">
      <x15ac:absPath xmlns:x15ac="http://schemas.microsoft.com/office/spreadsheetml/2010/11/ac" url="\\10.13.131.17\disk1\浄化センター共有\05-施設・設備管理\★修繕・委託・購入発注\2_集排\012東栄\R7.6【東栄JC】東栄地区処理施設機械電気設備改修工事\2.契約執行伺(★契約検査室送付)\"/>
    </mc:Choice>
  </mc:AlternateContent>
  <xr:revisionPtr revIDLastSave="0" documentId="13_ncr:1_{93B6D118-2D34-45EE-B85C-C1FB69B78148}" xr6:coauthVersionLast="47" xr6:coauthVersionMax="47" xr10:uidLastSave="{00000000-0000-0000-0000-000000000000}"/>
  <bookViews>
    <workbookView xWindow="-120" yWindow="-120" windowWidth="29040" windowHeight="15840" tabRatio="936" firstSheet="1" activeTab="25" xr2:uid="{00000000-000D-0000-FFFF-FFFF00000000}"/>
  </bookViews>
  <sheets>
    <sheet name="menu" sheetId="15" state="hidden" r:id="rId1"/>
    <sheet name="表紙" sheetId="18" r:id="rId2"/>
    <sheet name="本工事費内訳書" sheetId="44" state="hidden" r:id="rId3"/>
    <sheet name="施行経費内訳（合算）" sheetId="49" state="hidden" r:id="rId4"/>
    <sheet name="表紙(機械)" sheetId="45" state="hidden" r:id="rId5"/>
    <sheet name="内訳(機械)" sheetId="46" state="hidden" r:id="rId6"/>
    <sheet name="表紙(電気)" sheetId="47" state="hidden" r:id="rId7"/>
    <sheet name="内訳(電気)" sheetId="48" state="hidden" r:id="rId8"/>
    <sheet name="変更総括" sheetId="51" state="hidden" r:id="rId9"/>
    <sheet name="設計概要" sheetId="17" r:id="rId10"/>
    <sheet name="本工事費内訳書 " sheetId="27" r:id="rId11"/>
    <sheet name="補単内訳書 " sheetId="28" state="hidden" r:id="rId12"/>
    <sheet name="施行経費内訳 (単独)" sheetId="42" state="hidden" r:id="rId13"/>
    <sheet name="表紙(機械)補助" sheetId="5" r:id="rId14"/>
    <sheet name="概要(機械)補助" sheetId="22" r:id="rId15"/>
    <sheet name="内訳(機械)補助" sheetId="4" r:id="rId16"/>
    <sheet name="明細(機械)補助" sheetId="1" r:id="rId17"/>
    <sheet name="概要(機械)単独" sheetId="30" state="hidden" r:id="rId18"/>
    <sheet name="表紙(機械)単独" sheetId="29" state="hidden" r:id="rId19"/>
    <sheet name="内訳(機械)単独" sheetId="31" state="hidden" r:id="rId20"/>
    <sheet name="明細(機械)単独" sheetId="32" state="hidden" r:id="rId21"/>
    <sheet name="集計(機械)単独" sheetId="33" state="hidden" r:id="rId22"/>
    <sheet name="数量(機械)単独" sheetId="34" state="hidden" r:id="rId23"/>
    <sheet name="表紙(電気)補助" sheetId="6" r:id="rId24"/>
    <sheet name="概要(電気)補助" sheetId="23" r:id="rId25"/>
    <sheet name="内訳(電気)補助" sheetId="7" r:id="rId26"/>
    <sheet name="明細(電気)補助" sheetId="8" r:id="rId27"/>
    <sheet name="数量2-2(電気)" sheetId="14" state="hidden" r:id="rId28"/>
    <sheet name="表紙(土木)" sheetId="21" state="hidden" r:id="rId29"/>
    <sheet name="数量(土木)" sheetId="20" state="hidden" r:id="rId30"/>
    <sheet name="表紙(電気)単独" sheetId="35" state="hidden" r:id="rId31"/>
    <sheet name="概要(電気)単独" sheetId="36" state="hidden" r:id="rId32"/>
    <sheet name="内訳(電気)単独" sheetId="37" state="hidden" r:id="rId33"/>
    <sheet name="明細(電気) 単独" sheetId="38" state="hidden" r:id="rId34"/>
    <sheet name="集計(電気)単独" sheetId="39" state="hidden" r:id="rId35"/>
    <sheet name="数量1(電気)単独" sheetId="40" state="hidden" r:id="rId36"/>
    <sheet name="数量2-1(電気) 単独" sheetId="41" state="hidden" r:id="rId37"/>
    <sheet name="資材単価" sheetId="19" state="hidden" r:id="rId38"/>
  </sheets>
  <externalReferences>
    <externalReference r:id="rId39"/>
    <externalReference r:id="rId40"/>
    <externalReference r:id="rId41"/>
    <externalReference r:id="rId42"/>
    <externalReference r:id="rId43"/>
    <externalReference r:id="rId44"/>
    <externalReference r:id="rId45"/>
  </externalReferences>
  <definedNames>
    <definedName name="_123" localSheetId="12" hidden="1">#REF!</definedName>
    <definedName name="_123" localSheetId="3" hidden="1">#REF!</definedName>
    <definedName name="_123" localSheetId="8" hidden="1">#REF!</definedName>
    <definedName name="_123" hidden="1">#REF!</definedName>
    <definedName name="_Fill" localSheetId="12" hidden="1">#REF!</definedName>
    <definedName name="_Fill" localSheetId="3" hidden="1">#REF!</definedName>
    <definedName name="_Fill" localSheetId="8" hidden="1">#REF!</definedName>
    <definedName name="_Fill" hidden="1">#REF!</definedName>
    <definedName name="_Key1" localSheetId="12" hidden="1">#REF!</definedName>
    <definedName name="_Key1" localSheetId="3" hidden="1">#REF!</definedName>
    <definedName name="_Key1" localSheetId="8" hidden="1">#REF!</definedName>
    <definedName name="_Key1" hidden="1">#REF!</definedName>
    <definedName name="_Order1" hidden="1">255</definedName>
    <definedName name="_Order2" hidden="1">255</definedName>
    <definedName name="_Sort" localSheetId="12" hidden="1">#REF!</definedName>
    <definedName name="_Sort" localSheetId="3" hidden="1">#REF!</definedName>
    <definedName name="_Sort" localSheetId="8" hidden="1">#REF!</definedName>
    <definedName name="_Sort" hidden="1">#REF!</definedName>
    <definedName name="Cv97SheetGousei" localSheetId="12" hidden="1">#REF!</definedName>
    <definedName name="Cv97SheetGousei" localSheetId="3" hidden="1">#REF!</definedName>
    <definedName name="Cv97SheetGousei" localSheetId="8" hidden="1">#REF!</definedName>
    <definedName name="Cv97SheetGousei" hidden="1">#REF!</definedName>
    <definedName name="_xlnm.Print_Area" localSheetId="17">'概要(機械)単独'!$B$2:$AW$78</definedName>
    <definedName name="_xlnm.Print_Area" localSheetId="14">'概要(機械)補助'!$A$2:$AV$79</definedName>
    <definedName name="_xlnm.Print_Area" localSheetId="31">'概要(電気)単独'!$B$2:$AW$78</definedName>
    <definedName name="_xlnm.Print_Area" localSheetId="24">'概要(電気)補助'!$A$2:$AV$78</definedName>
    <definedName name="_xlnm.Print_Area" localSheetId="12">'施行経費内訳 (単独)'!$B$2:$G$33</definedName>
    <definedName name="_xlnm.Print_Area" localSheetId="3">'施行経費内訳（合算）'!$B$2:$G$33</definedName>
    <definedName name="_xlnm.Print_Area" localSheetId="37">資材単価!$B$3:$J$293</definedName>
    <definedName name="_xlnm.Print_Area" localSheetId="21">'集計(機械)単独'!$B$2:$AV$52</definedName>
    <definedName name="_xlnm.Print_Area" localSheetId="34">'集計(電気)単独'!$B$2:$H$48,'集計(電気)単独'!$BC$2:$BP$48,'集計(電気)単独'!$Y$2:$AL$48,'集計(電気)単独'!$AN$2:$BA$48</definedName>
    <definedName name="_xlnm.Print_Area" localSheetId="22">'数量(機械)単独'!$AK$2:$AP$48,'数量(機械)単独'!$AD$2:$AI$48,'数量(機械)単独'!$I$2:$N$48,'数量(機械)単独'!$P$2:$U$48</definedName>
    <definedName name="_xlnm.Print_Area" localSheetId="29">'数量(土木)'!$B$2:$G$48,'数量(土木)'!$I$2:$N$48,'数量(土木)'!$P$2:$U$48,'数量(土木)'!$W$2:$AB$48</definedName>
    <definedName name="_xlnm.Print_Area" localSheetId="35">'数量1(電気)単独'!$AY$2:$BD$48,'数量1(電気)単独'!$BF$2:$BK$48,'数量1(電気)単独'!$W$2:$AB$48,'数量1(電気)単独'!$P$2:$U$48,'数量1(電気)単独'!$I$2:$N$48</definedName>
    <definedName name="_xlnm.Print_Area" localSheetId="36">'数量2-1(電気) 単独'!$B$2:$AO$73</definedName>
    <definedName name="_xlnm.Print_Area" localSheetId="27">'数量2-2(電気)'!$B$2:$AU$73</definedName>
    <definedName name="_xlnm.Print_Area" localSheetId="9">設計概要!$A$2:$AV$78</definedName>
    <definedName name="_xlnm.Print_Area" localSheetId="5">'内訳(機械)'!$B$2:$J$271</definedName>
    <definedName name="_xlnm.Print_Area" localSheetId="19">'内訳(機械)単独'!$B$2:$J$219</definedName>
    <definedName name="_xlnm.Print_Area" localSheetId="15">'内訳(機械)補助'!$A$2:$I$69</definedName>
    <definedName name="_xlnm.Print_Area" localSheetId="7">'内訳(電気)'!$B$2:$J$223</definedName>
    <definedName name="_xlnm.Print_Area" localSheetId="32">'内訳(電気)単独'!$B$2:$J$221</definedName>
    <definedName name="_xlnm.Print_Area" localSheetId="25">'内訳(電気)補助'!$A$2:$I$63</definedName>
    <definedName name="_xlnm.Print_Area" localSheetId="1">表紙!$A$2:$J$40</definedName>
    <definedName name="_xlnm.Print_Area" localSheetId="4">'表紙(機械)'!$B$2:$I$40</definedName>
    <definedName name="_xlnm.Print_Area" localSheetId="18">'表紙(機械)単独'!$B$2:$I$40</definedName>
    <definedName name="_xlnm.Print_Area" localSheetId="13">'表紙(機械)補助'!$A$2:$H$40</definedName>
    <definedName name="_xlnm.Print_Area" localSheetId="6">'表紙(電気)'!$B$2:$I$40</definedName>
    <definedName name="_xlnm.Print_Area" localSheetId="30">'表紙(電気)単独'!$B$2:$I$40</definedName>
    <definedName name="_xlnm.Print_Area" localSheetId="23">'表紙(電気)補助'!$A$2:$H$40</definedName>
    <definedName name="_xlnm.Print_Area" localSheetId="28">'表紙(土木)'!$B$2:$I$40</definedName>
    <definedName name="_xlnm.Print_Area" localSheetId="8">変更総括!$B$3:$Y$64</definedName>
    <definedName name="_xlnm.Print_Area" localSheetId="11">'補単内訳書 '!$B$2:$AC$52</definedName>
    <definedName name="_xlnm.Print_Area" localSheetId="2">本工事費内訳書!$B$2:$J$27</definedName>
    <definedName name="_xlnm.Print_Area" localSheetId="10">'本工事費内訳書 '!$A$2:$I$23</definedName>
    <definedName name="_xlnm.Print_Area" localSheetId="20">'明細(機械)単独'!$AP$2:$AV$48,'明細(機械)単独'!$AX$2:$BD$48,'明細(機械)単独'!$BF$2:$BL$48,'明細(機械)単独'!$J$2:$P$48,'明細(機械)単独'!$R$2:$X$48,'明細(機械)単独'!$Z$2:$AF$48</definedName>
    <definedName name="_xlnm.Print_Area" localSheetId="16">'明細(機械)補助'!$A$2:$G$48,'明細(機械)補助'!$I$2:$O$48,'明細(機械)補助'!$Q$2:$W$48,'明細(機械)補助'!$Y$2:$AE$48</definedName>
    <definedName name="_xlnm.Print_Area" localSheetId="33">'明細(電気) 単独'!$BN$2:$BT$48,'明細(電気) 単独'!$BV$2:$CB$48,'明細(電気) 単独'!$Z$2:$AF$48,'明細(電気) 単独'!$AH$2:$AN$48,'明細(電気) 単独'!$AP$2:$AV$48,'明細(電気) 単独'!$R$2:$X$48,'明細(電気) 単独'!$J$2:$P$48</definedName>
    <definedName name="_xlnm.Print_Area" localSheetId="26">'明細(電気)補助'!$A$2:$G$48,'明細(電気)補助'!$I$2:$O$48,'明細(電気)補助'!$Q$2:$W$48,'明細(電気)補助'!$Y$2:$AE$48,'明細(電気)補助'!$AG$2:$AM$48,'明細(電気)補助'!$AO$2:$AU$48</definedName>
    <definedName name="_xlnm.Print_Titles" localSheetId="17">'概要(機械)単独'!$2:$3</definedName>
    <definedName name="_xlnm.Print_Titles" localSheetId="14">'概要(機械)補助'!$2:$3</definedName>
    <definedName name="_xlnm.Print_Titles" localSheetId="31">'概要(電気)単独'!$2:$3</definedName>
    <definedName name="_xlnm.Print_Titles" localSheetId="24">'概要(電気)補助'!$2:$3</definedName>
    <definedName name="_xlnm.Print_Titles" localSheetId="37">資材単価!$3:$5</definedName>
    <definedName name="_xlnm.Print_Titles" localSheetId="9">設計概要!$2:$3</definedName>
    <definedName name="_xlnm.Print_Titles" localSheetId="5">'内訳(機械)'!$2:$5</definedName>
    <definedName name="_xlnm.Print_Titles" localSheetId="19">'内訳(機械)単独'!$2:$5</definedName>
    <definedName name="_xlnm.Print_Titles" localSheetId="15">'内訳(機械)補助'!$2:$5</definedName>
    <definedName name="_xlnm.Print_Titles" localSheetId="7">'内訳(電気)'!$2:$5</definedName>
    <definedName name="_xlnm.Print_Titles" localSheetId="32">'内訳(電気)単独'!$2:$5</definedName>
    <definedName name="_xlnm.Print_Titles" localSheetId="25">'内訳(電気)補助'!$2:$5</definedName>
    <definedName name="wrn.業務委託設計書印刷." localSheetId="8" hidden="1">{"起工設計書Ｐ１",#N/A,FALSE,"Sheet1";"起工設計書Ｐ２",#N/A,FALSE,"Sheet2"}</definedName>
    <definedName name="wrn.業務委託設計書印刷." hidden="1">{"起工設計書Ｐ１",#N/A,FALSE,"Sheet1";"起工設計書Ｐ２",#N/A,FALSE,"Sheet2"}</definedName>
    <definedName name="wrn.代価表印刷." localSheetId="8" hidden="1">{"代価表",#N/A,FALSE,"Sheet1";"作業能力",#N/A,FALSE,"Sheet3"}</definedName>
    <definedName name="wrn.代価表印刷." hidden="1">{"代価表",#N/A,FALSE,"Sheet1";"作業能力",#N/A,FALSE,"Sheet3"}</definedName>
    <definedName name="wrn.代価表印刷２." localSheetId="8" hidden="1">{"代価表２",#N/A,FALSE,"代価表"}</definedName>
    <definedName name="wrn.代価表印刷２." hidden="1">{"代価表２",#N/A,FALSE,"代価表"}</definedName>
    <definedName name="wrn.内訳表印刷." localSheetId="8" hidden="1">{"内訳表",#N/A,FALSE,"内訳表";"外業日数",#N/A,FALSE,"外業日数";"単価算出調書",#N/A,FALSE,"単価算出調書"}</definedName>
    <definedName name="wrn.内訳表印刷." hidden="1">{"内訳表",#N/A,FALSE,"内訳表";"外業日数",#N/A,FALSE,"外業日数";"単価算出調書",#N/A,FALSE,"単価算出調書"}</definedName>
    <definedName name="マンホール">[1]data!$O$3:$O$7</definedName>
    <definedName name="管主">[2]data!$A$3:$A$19</definedName>
    <definedName name="管種">[1]data!$A$3:$A$19</definedName>
    <definedName name="管種2">[3]data②!$A$3:$A$13</definedName>
    <definedName name="管種3">[3]data③!$A$3:$A$11</definedName>
    <definedName name="基軸ｱﾝｸﾙﾓｰﾙﾐﾆφ250" localSheetId="8" hidden="1">{"起工設計書Ｐ１",#N/A,FALSE,"Sheet1";"起工設計書Ｐ２",#N/A,FALSE,"Sheet2"}</definedName>
    <definedName name="基軸ｱﾝｸﾙﾓｰﾙﾐﾆφ250" hidden="1">{"起工設計書Ｐ１",#N/A,FALSE,"Sheet1";"起工設計書Ｐ２",#N/A,FALSE,"Sheet2"}</definedName>
    <definedName name="掘削">[2]data!$AG$3:$AG$8</definedName>
    <definedName name="掘削機械">[1]data!$AG$3:$AG$8</definedName>
    <definedName name="鋼矢板損料" localSheetId="12" hidden="1">#REF!</definedName>
    <definedName name="鋼矢板損料" localSheetId="3" hidden="1">#REF!</definedName>
    <definedName name="鋼矢板損料" localSheetId="8" hidden="1">#REF!</definedName>
    <definedName name="鋼矢板損料" hidden="1">#REF!</definedName>
    <definedName name="財源内訳" localSheetId="8" hidden="1">{"起工設計書Ｐ１",#N/A,FALSE,"Sheet1";"起工設計書Ｐ２",#N/A,FALSE,"Sheet2"}</definedName>
    <definedName name="財源内訳" hidden="1">{"起工設計書Ｐ１",#N/A,FALSE,"Sheet1";"起工設計書Ｐ２",#N/A,FALSE,"Sheet2"}</definedName>
    <definedName name="推進工法">[4]data!$AA$3:$AA$4</definedName>
    <definedName name="代価" localSheetId="8" hidden="1">{"代価表",#N/A,FALSE,"Sheet1";"作業能力",#N/A,FALSE,"Sheet3"}</definedName>
    <definedName name="代価" hidden="1">{"代価表",#N/A,FALSE,"Sheet1";"作業能力",#N/A,FALSE,"Sheet3"}</definedName>
    <definedName name="代価1" localSheetId="8" hidden="1">{"代価表",#N/A,FALSE,"Sheet1";"作業能力",#N/A,FALSE,"Sheet3"}</definedName>
    <definedName name="代価1" hidden="1">{"代価表",#N/A,FALSE,"Sheet1";"作業能力",#N/A,FALSE,"Sheet3"}</definedName>
    <definedName name="代価表１" localSheetId="8" hidden="1">{"代価表２",#N/A,FALSE,"代価表"}</definedName>
    <definedName name="代価表１" hidden="1">{"代価表２",#N/A,FALSE,"代価表"}</definedName>
    <definedName name="中野" localSheetId="8" hidden="1">{"代価表",#N/A,FALSE,"Sheet1";"作業能力",#N/A,FALSE,"Sheet3"}</definedName>
    <definedName name="中野" hidden="1">{"代価表",#N/A,FALSE,"Sheet1";"作業能力",#N/A,FALSE,"Sheet3"}</definedName>
    <definedName name="中野１" localSheetId="8" hidden="1">{"内訳表",#N/A,FALSE,"内訳表";"外業日数",#N/A,FALSE,"外業日数";"単価算出調書",#N/A,FALSE,"単価算出調書"}</definedName>
    <definedName name="中野１" hidden="1">{"内訳表",#N/A,FALSE,"内訳表";"外業日数",#N/A,FALSE,"外業日数";"単価算出調書",#N/A,FALSE,"単価算出調書"}</definedName>
    <definedName name="変更内訳" localSheetId="8" hidden="1">{"起工設計書Ｐ１",#N/A,FALSE,"Sheet1";"起工設計書Ｐ２",#N/A,FALSE,"Sheet2"}</definedName>
    <definedName name="変更内訳" hidden="1">{"起工設計書Ｐ１",#N/A,FALSE,"Sheet1";"起工設計書Ｐ２",#N/A,FALSE,"Sheet2"}</definedName>
    <definedName name="舗装">[1]data!$AC$3:$AC$19</definedName>
    <definedName name="本舗装">[5]data!$J$3:$J$12</definedName>
    <definedName name="薬液注入工法">[4]data!$AC$3:$AC$7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7" i="8" l="1"/>
  <c r="AD7" i="1" l="1"/>
  <c r="A11" i="6" l="1"/>
  <c r="A7" i="6"/>
  <c r="A11" i="5"/>
  <c r="A7" i="5"/>
  <c r="AT45" i="8" l="1"/>
  <c r="AT43" i="8"/>
  <c r="AT41" i="8"/>
  <c r="AT39" i="8"/>
  <c r="AT37" i="8"/>
  <c r="AT35" i="8"/>
  <c r="AT33" i="8"/>
  <c r="AT31" i="8"/>
  <c r="AT29" i="8"/>
  <c r="AT27" i="8"/>
  <c r="AT25" i="8"/>
  <c r="AT23" i="8"/>
  <c r="AT21" i="8"/>
  <c r="AT19" i="8"/>
  <c r="AT17" i="8"/>
  <c r="AT15" i="8"/>
  <c r="AT13" i="8"/>
  <c r="AT11" i="8"/>
  <c r="AT9" i="8"/>
  <c r="AT7" i="8"/>
  <c r="AL45" i="8"/>
  <c r="AL43" i="8"/>
  <c r="AL41" i="8"/>
  <c r="AL39" i="8"/>
  <c r="AL37" i="8"/>
  <c r="AL35" i="8"/>
  <c r="AL33" i="8"/>
  <c r="AL31" i="8"/>
  <c r="AL29" i="8"/>
  <c r="AL27" i="8"/>
  <c r="AL25" i="8"/>
  <c r="AL23" i="8"/>
  <c r="AL21" i="8"/>
  <c r="AL19" i="8"/>
  <c r="AL17" i="8"/>
  <c r="AL15" i="8"/>
  <c r="AL13" i="8"/>
  <c r="AL11" i="8"/>
  <c r="AL9" i="8"/>
  <c r="AD45" i="8"/>
  <c r="AD43" i="8"/>
  <c r="AD41" i="8"/>
  <c r="AD39" i="8"/>
  <c r="AD37" i="8"/>
  <c r="AD35" i="8"/>
  <c r="AD33" i="8"/>
  <c r="AD31" i="8"/>
  <c r="AD29" i="8"/>
  <c r="AD27" i="8"/>
  <c r="AD25" i="8"/>
  <c r="AD23" i="8"/>
  <c r="AD21" i="8"/>
  <c r="AD19" i="8"/>
  <c r="AD17" i="8"/>
  <c r="AD15" i="8"/>
  <c r="AD13" i="8"/>
  <c r="AD11" i="8"/>
  <c r="AD9" i="8"/>
  <c r="V43" i="8"/>
  <c r="V41" i="8"/>
  <c r="V39" i="8"/>
  <c r="V37" i="8"/>
  <c r="V35" i="8"/>
  <c r="V33" i="8"/>
  <c r="V31" i="8"/>
  <c r="V29" i="8"/>
  <c r="V27" i="8"/>
  <c r="V25" i="8"/>
  <c r="V23" i="8"/>
  <c r="V21" i="8"/>
  <c r="V19" i="8"/>
  <c r="V17" i="8"/>
  <c r="V15" i="8"/>
  <c r="V13" i="8"/>
  <c r="V11" i="8"/>
  <c r="V9" i="8"/>
  <c r="V7" i="8"/>
  <c r="N43" i="8"/>
  <c r="N41" i="8"/>
  <c r="N39" i="8"/>
  <c r="N37" i="8"/>
  <c r="N35" i="8"/>
  <c r="N33" i="8"/>
  <c r="N31" i="8"/>
  <c r="N29" i="8"/>
  <c r="N27" i="8"/>
  <c r="N25" i="8"/>
  <c r="N23" i="8"/>
  <c r="N21" i="8"/>
  <c r="N19" i="8"/>
  <c r="N17" i="8"/>
  <c r="N15" i="8"/>
  <c r="N13" i="8"/>
  <c r="M45" i="8" s="1"/>
  <c r="N45" i="8" s="1"/>
  <c r="N11" i="8"/>
  <c r="N9" i="8"/>
  <c r="F7" i="8"/>
  <c r="F9" i="8"/>
  <c r="F11" i="8"/>
  <c r="F13" i="8"/>
  <c r="F15" i="8"/>
  <c r="F17" i="8"/>
  <c r="F19" i="8"/>
  <c r="F21" i="8"/>
  <c r="F23" i="8"/>
  <c r="F25" i="8"/>
  <c r="F27" i="8"/>
  <c r="F29" i="8"/>
  <c r="F31" i="8"/>
  <c r="F33" i="8"/>
  <c r="F35" i="8"/>
  <c r="F37" i="8"/>
  <c r="F39" i="8"/>
  <c r="F41" i="8"/>
  <c r="F43" i="8"/>
  <c r="F45" i="8"/>
  <c r="N43" i="1"/>
  <c r="N41" i="1"/>
  <c r="N39" i="1"/>
  <c r="N37" i="1"/>
  <c r="N35" i="1"/>
  <c r="N33" i="1"/>
  <c r="N31" i="1"/>
  <c r="N29" i="1"/>
  <c r="N27" i="1"/>
  <c r="N25" i="1"/>
  <c r="N23" i="1"/>
  <c r="N21" i="1"/>
  <c r="N19" i="1"/>
  <c r="N17" i="1"/>
  <c r="N15" i="1"/>
  <c r="N13" i="1"/>
  <c r="N11" i="1"/>
  <c r="N9" i="1"/>
  <c r="AT47" i="8" l="1"/>
  <c r="U45" i="8"/>
  <c r="V45" i="8" s="1"/>
  <c r="V47" i="8" s="1"/>
  <c r="N47" i="1"/>
  <c r="F47" i="8"/>
  <c r="N47" i="8"/>
  <c r="AD45" i="1" l="1"/>
  <c r="AD43" i="1"/>
  <c r="AD41" i="1"/>
  <c r="AD39" i="1"/>
  <c r="AD37" i="1"/>
  <c r="AD35" i="1"/>
  <c r="AD33" i="1"/>
  <c r="AD31" i="1"/>
  <c r="AD29" i="1"/>
  <c r="AD27" i="1"/>
  <c r="AD25" i="1"/>
  <c r="AD23" i="1"/>
  <c r="AD21" i="1"/>
  <c r="AD19" i="1"/>
  <c r="AD17" i="1"/>
  <c r="AD15" i="1"/>
  <c r="AD13" i="1"/>
  <c r="AD11" i="1"/>
  <c r="AD9" i="1"/>
  <c r="V45" i="1"/>
  <c r="V43" i="1"/>
  <c r="V41" i="1"/>
  <c r="V39" i="1"/>
  <c r="V37" i="1"/>
  <c r="V35" i="1"/>
  <c r="V33" i="1"/>
  <c r="V31" i="1"/>
  <c r="V29" i="1"/>
  <c r="V27" i="1"/>
  <c r="V25" i="1"/>
  <c r="V23" i="1"/>
  <c r="V21" i="1"/>
  <c r="V19" i="1"/>
  <c r="V17" i="1"/>
  <c r="V15" i="1"/>
  <c r="V13" i="1"/>
  <c r="V11" i="1"/>
  <c r="F13" i="1"/>
  <c r="F15" i="1"/>
  <c r="F17" i="1"/>
  <c r="F19" i="1"/>
  <c r="F21" i="1"/>
  <c r="F23" i="1"/>
  <c r="F25" i="1"/>
  <c r="F27" i="1"/>
  <c r="F29" i="1"/>
  <c r="F31" i="1"/>
  <c r="F33" i="1"/>
  <c r="F35" i="1"/>
  <c r="F37" i="1"/>
  <c r="F39" i="1"/>
  <c r="F41" i="1"/>
  <c r="F43" i="1"/>
  <c r="F45" i="1"/>
  <c r="V47" i="1" l="1"/>
  <c r="AD47" i="1"/>
  <c r="F47" i="1"/>
  <c r="BB5" i="8"/>
  <c r="AY6" i="8"/>
  <c r="BB6" i="8" s="1"/>
  <c r="BB7" i="8"/>
  <c r="AY8" i="8"/>
  <c r="BB8" i="8" s="1"/>
  <c r="BB9" i="8"/>
  <c r="BB10" i="8"/>
  <c r="BB47" i="8" l="1"/>
  <c r="BB48" i="8"/>
  <c r="E40" i="28"/>
  <c r="F41" i="28" l="1"/>
  <c r="K61" i="51" l="1"/>
  <c r="P26" i="51"/>
  <c r="S11" i="51"/>
  <c r="S10" i="51"/>
  <c r="S9" i="51"/>
  <c r="S8" i="51"/>
  <c r="S14" i="51" l="1"/>
  <c r="P18" i="51" s="1"/>
  <c r="S15" i="51"/>
  <c r="P19" i="51" s="1"/>
  <c r="S18" i="51" l="1"/>
  <c r="S20" i="51" s="1"/>
  <c r="S19" i="51"/>
  <c r="S21" i="51" s="1"/>
  <c r="Y9" i="28"/>
  <c r="U9" i="28"/>
  <c r="S9" i="28"/>
  <c r="Q9" i="28"/>
  <c r="O9" i="28"/>
  <c r="H271" i="19" l="1"/>
  <c r="H268" i="19"/>
  <c r="H262" i="19"/>
  <c r="H259" i="19"/>
  <c r="H256" i="19"/>
  <c r="H253" i="19"/>
  <c r="H250" i="19"/>
  <c r="H244" i="19"/>
  <c r="H241" i="19"/>
  <c r="H238" i="19"/>
  <c r="H235" i="19"/>
  <c r="H232" i="19"/>
  <c r="H229" i="19"/>
  <c r="H226" i="19"/>
  <c r="H223" i="19"/>
  <c r="H220" i="19"/>
  <c r="H217" i="19"/>
  <c r="H214" i="19"/>
  <c r="H211" i="19"/>
  <c r="H208" i="19"/>
  <c r="H205" i="19"/>
  <c r="H202" i="19"/>
  <c r="H199" i="19"/>
  <c r="H196" i="19"/>
  <c r="H193" i="19"/>
  <c r="H190" i="19"/>
  <c r="H187" i="19"/>
  <c r="H184" i="19"/>
  <c r="H181" i="19"/>
  <c r="H178" i="19"/>
  <c r="H175" i="19"/>
  <c r="H172" i="19"/>
  <c r="H169" i="19"/>
  <c r="H166" i="19"/>
  <c r="H163" i="19"/>
  <c r="H160" i="19"/>
  <c r="H157" i="19"/>
  <c r="H154" i="19"/>
  <c r="H151" i="19"/>
  <c r="H148" i="19"/>
  <c r="H145" i="19"/>
  <c r="H142" i="19"/>
  <c r="H139" i="19"/>
  <c r="H136" i="19"/>
  <c r="H133" i="19"/>
  <c r="H130" i="19"/>
  <c r="H127" i="19"/>
  <c r="H124" i="19"/>
  <c r="H121" i="19"/>
  <c r="H118" i="19"/>
  <c r="H112" i="19"/>
  <c r="H109" i="19"/>
  <c r="H106" i="19"/>
  <c r="H103" i="19"/>
  <c r="H91" i="19"/>
  <c r="H79" i="19"/>
  <c r="H76" i="19"/>
  <c r="H73" i="19"/>
  <c r="H70" i="19"/>
  <c r="H67" i="19"/>
  <c r="H64" i="19"/>
  <c r="H61" i="19"/>
  <c r="H58" i="19"/>
  <c r="H37" i="19"/>
  <c r="H34" i="19"/>
  <c r="H31" i="19"/>
  <c r="H28" i="19"/>
  <c r="H25" i="19"/>
  <c r="H22" i="19"/>
  <c r="H19" i="19"/>
  <c r="H16" i="19"/>
  <c r="H13" i="19"/>
  <c r="H10" i="19"/>
  <c r="F11" i="49" l="1"/>
  <c r="F10" i="49"/>
  <c r="I14" i="48"/>
  <c r="L14" i="48" s="1"/>
  <c r="F185" i="48"/>
  <c r="F184" i="48"/>
  <c r="I81" i="48"/>
  <c r="I80" i="48"/>
  <c r="I79" i="48"/>
  <c r="I78" i="48"/>
  <c r="I77" i="48"/>
  <c r="I76" i="48"/>
  <c r="I75" i="48"/>
  <c r="I74" i="48"/>
  <c r="I73" i="48"/>
  <c r="I72" i="48"/>
  <c r="I71" i="48"/>
  <c r="I70" i="48"/>
  <c r="I69" i="48"/>
  <c r="I68" i="48"/>
  <c r="I67" i="48"/>
  <c r="H67" i="48"/>
  <c r="H66" i="48"/>
  <c r="I66" i="48" s="1"/>
  <c r="I59" i="48"/>
  <c r="M58" i="48" s="1"/>
  <c r="I58" i="48"/>
  <c r="L58" i="48" s="1"/>
  <c r="I57" i="48"/>
  <c r="M56" i="48" s="1"/>
  <c r="I56" i="48"/>
  <c r="L56" i="48" s="1"/>
  <c r="I55" i="48"/>
  <c r="M54" i="48" s="1"/>
  <c r="I54" i="48"/>
  <c r="L54" i="48" s="1"/>
  <c r="I53" i="48"/>
  <c r="M52" i="48" s="1"/>
  <c r="I52" i="48"/>
  <c r="L52" i="48" s="1"/>
  <c r="I51" i="48"/>
  <c r="M50" i="48"/>
  <c r="I50" i="48"/>
  <c r="L50" i="48" s="1"/>
  <c r="I49" i="48"/>
  <c r="M48" i="48" s="1"/>
  <c r="I48" i="48"/>
  <c r="L48" i="48" s="1"/>
  <c r="I47" i="48"/>
  <c r="M46" i="48" s="1"/>
  <c r="I46" i="48"/>
  <c r="L46" i="48" s="1"/>
  <c r="I45" i="48"/>
  <c r="M44" i="48" s="1"/>
  <c r="I44" i="48"/>
  <c r="L44" i="48" s="1"/>
  <c r="I43" i="48"/>
  <c r="M42" i="48" s="1"/>
  <c r="I42" i="48"/>
  <c r="L42" i="48" s="1"/>
  <c r="I41" i="48"/>
  <c r="M40" i="48"/>
  <c r="I39" i="48"/>
  <c r="M38" i="48" s="1"/>
  <c r="I33" i="48"/>
  <c r="M32" i="48" s="1"/>
  <c r="I32" i="48"/>
  <c r="L32" i="48" s="1"/>
  <c r="I31" i="48"/>
  <c r="M30" i="48"/>
  <c r="I30" i="48"/>
  <c r="L30" i="48" s="1"/>
  <c r="I29" i="48"/>
  <c r="M28" i="48"/>
  <c r="I28" i="48"/>
  <c r="L28" i="48" s="1"/>
  <c r="I27" i="48"/>
  <c r="M26" i="48"/>
  <c r="I26" i="48"/>
  <c r="L26" i="48" s="1"/>
  <c r="I25" i="48"/>
  <c r="M24" i="48" s="1"/>
  <c r="I24" i="48"/>
  <c r="L24" i="48" s="1"/>
  <c r="I23" i="48"/>
  <c r="M22" i="48" s="1"/>
  <c r="I22" i="48"/>
  <c r="L22" i="48" s="1"/>
  <c r="I21" i="48"/>
  <c r="M20" i="48" s="1"/>
  <c r="I20" i="48"/>
  <c r="L20" i="48" s="1"/>
  <c r="I19" i="48"/>
  <c r="M18" i="48" s="1"/>
  <c r="I18" i="48"/>
  <c r="L18" i="48" s="1"/>
  <c r="I17" i="48"/>
  <c r="M16" i="48" s="1"/>
  <c r="I16" i="48"/>
  <c r="L16" i="48" s="1"/>
  <c r="I15" i="48"/>
  <c r="M14" i="48" s="1"/>
  <c r="I13" i="48"/>
  <c r="M12" i="48" s="1"/>
  <c r="F233" i="46"/>
  <c r="F232" i="46"/>
  <c r="T99" i="46"/>
  <c r="I81" i="46"/>
  <c r="I80" i="46"/>
  <c r="I79" i="46"/>
  <c r="I78" i="46"/>
  <c r="I77" i="46"/>
  <c r="I76" i="46"/>
  <c r="I75" i="46"/>
  <c r="I74" i="46"/>
  <c r="I73" i="46"/>
  <c r="I72" i="46"/>
  <c r="I71" i="46"/>
  <c r="I69" i="46"/>
  <c r="I67" i="46"/>
  <c r="I59" i="46"/>
  <c r="M58" i="46"/>
  <c r="I58" i="46"/>
  <c r="L58" i="46" s="1"/>
  <c r="I57" i="46"/>
  <c r="M56" i="46" s="1"/>
  <c r="I56" i="46"/>
  <c r="L56" i="46" s="1"/>
  <c r="I55" i="46"/>
  <c r="M54" i="46" s="1"/>
  <c r="I54" i="46"/>
  <c r="L54" i="46" s="1"/>
  <c r="I53" i="46"/>
  <c r="M52" i="46" s="1"/>
  <c r="I52" i="46"/>
  <c r="L52" i="46" s="1"/>
  <c r="I51" i="46"/>
  <c r="M50" i="46" s="1"/>
  <c r="I50" i="46"/>
  <c r="L50" i="46" s="1"/>
  <c r="I49" i="46"/>
  <c r="M48" i="46" s="1"/>
  <c r="I48" i="46"/>
  <c r="L48" i="46" s="1"/>
  <c r="I47" i="46"/>
  <c r="M46" i="46" s="1"/>
  <c r="I46" i="46"/>
  <c r="L46" i="46" s="1"/>
  <c r="I45" i="46"/>
  <c r="M44" i="46" s="1"/>
  <c r="I44" i="46"/>
  <c r="L44" i="46" s="1"/>
  <c r="I43" i="46"/>
  <c r="M42" i="46" s="1"/>
  <c r="I42" i="46"/>
  <c r="L42" i="46" s="1"/>
  <c r="I41" i="46"/>
  <c r="M40" i="46" s="1"/>
  <c r="I39" i="46"/>
  <c r="M38" i="46" s="1"/>
  <c r="I33" i="46"/>
  <c r="M32" i="46" s="1"/>
  <c r="I32" i="46"/>
  <c r="L32" i="46" s="1"/>
  <c r="I31" i="46"/>
  <c r="M30" i="46" s="1"/>
  <c r="I30" i="46"/>
  <c r="L30" i="46" s="1"/>
  <c r="I29" i="46"/>
  <c r="M28" i="46" s="1"/>
  <c r="I28" i="46"/>
  <c r="L28" i="46" s="1"/>
  <c r="I27" i="46"/>
  <c r="M26" i="46" s="1"/>
  <c r="I26" i="46"/>
  <c r="L26" i="46" s="1"/>
  <c r="I25" i="46"/>
  <c r="M24" i="46" s="1"/>
  <c r="I24" i="46"/>
  <c r="L24" i="46" s="1"/>
  <c r="I23" i="46"/>
  <c r="M22" i="46" s="1"/>
  <c r="I22" i="46"/>
  <c r="L22" i="46" s="1"/>
  <c r="I21" i="46"/>
  <c r="M20" i="46" s="1"/>
  <c r="I20" i="46"/>
  <c r="L20" i="46" s="1"/>
  <c r="I19" i="46"/>
  <c r="M18" i="46" s="1"/>
  <c r="I18" i="46"/>
  <c r="L18" i="46" s="1"/>
  <c r="I17" i="46"/>
  <c r="M16" i="46" s="1"/>
  <c r="I16" i="46"/>
  <c r="L16" i="46" s="1"/>
  <c r="I15" i="46"/>
  <c r="M14" i="46" s="1"/>
  <c r="I14" i="46"/>
  <c r="L14" i="46" s="1"/>
  <c r="I13" i="46"/>
  <c r="M12" i="46" s="1"/>
  <c r="I23" i="44"/>
  <c r="I25" i="44" s="1"/>
  <c r="I22" i="44"/>
  <c r="K22" i="44" s="1"/>
  <c r="K24" i="44" s="1"/>
  <c r="L15" i="44"/>
  <c r="M13" i="44" s="1"/>
  <c r="K13" i="44"/>
  <c r="M60" i="46" l="1"/>
  <c r="I61" i="46" s="1"/>
  <c r="F61" i="46" s="1"/>
  <c r="M60" i="48"/>
  <c r="I61" i="48" s="1"/>
  <c r="F61" i="48" s="1"/>
  <c r="M34" i="48"/>
  <c r="I35" i="48" s="1"/>
  <c r="D154" i="48" s="1"/>
  <c r="M34" i="46"/>
  <c r="I35" i="46" s="1"/>
  <c r="I24" i="44"/>
  <c r="I26" i="44" s="1"/>
  <c r="D168" i="46"/>
  <c r="K26" i="44"/>
  <c r="I89" i="46"/>
  <c r="I91" i="46" s="1"/>
  <c r="F35" i="48" l="1"/>
  <c r="D120" i="48"/>
  <c r="L123" i="48" s="1"/>
  <c r="N123" i="48"/>
  <c r="M123" i="48"/>
  <c r="H65" i="48"/>
  <c r="F35" i="46"/>
  <c r="N171" i="46"/>
  <c r="M171" i="46"/>
  <c r="L171" i="46"/>
  <c r="H65" i="46"/>
  <c r="N157" i="48"/>
  <c r="H89" i="48"/>
  <c r="M157" i="48"/>
  <c r="L157" i="48"/>
  <c r="O123" i="48" l="1"/>
  <c r="K123" i="48"/>
  <c r="F65" i="48" s="1"/>
  <c r="I65" i="48" s="1"/>
  <c r="I83" i="48" s="1"/>
  <c r="O157" i="48"/>
  <c r="K157" i="48"/>
  <c r="F89" i="48" s="1"/>
  <c r="I89" i="48" s="1"/>
  <c r="I91" i="48" s="1"/>
  <c r="O171" i="46"/>
  <c r="K171" i="46"/>
  <c r="F65" i="46" s="1"/>
  <c r="I65" i="46" s="1"/>
  <c r="I83" i="46" s="1"/>
  <c r="D123" i="48" l="1"/>
  <c r="D157" i="48"/>
  <c r="D137" i="48"/>
  <c r="D185" i="46"/>
  <c r="D171" i="46"/>
  <c r="M188" i="46" l="1"/>
  <c r="L188" i="46"/>
  <c r="H85" i="46"/>
  <c r="N188" i="46"/>
  <c r="M140" i="48"/>
  <c r="L140" i="48"/>
  <c r="H85" i="48"/>
  <c r="N140" i="48"/>
  <c r="O140" i="48" l="1"/>
  <c r="K140" i="48"/>
  <c r="F85" i="48" s="1"/>
  <c r="I85" i="48" s="1"/>
  <c r="I87" i="48" s="1"/>
  <c r="I93" i="48" s="1"/>
  <c r="I95" i="48" s="1"/>
  <c r="O188" i="46"/>
  <c r="K188" i="46"/>
  <c r="F85" i="46" s="1"/>
  <c r="I85" i="46" s="1"/>
  <c r="I87" i="46" s="1"/>
  <c r="I93" i="46" s="1"/>
  <c r="I95" i="46" s="1"/>
  <c r="D188" i="46" l="1"/>
  <c r="D140" i="48"/>
  <c r="D178" i="48"/>
  <c r="H101" i="48"/>
  <c r="H99" i="48"/>
  <c r="D202" i="46"/>
  <c r="N205" i="46" l="1"/>
  <c r="H99" i="46"/>
  <c r="M205" i="46"/>
  <c r="L205" i="46"/>
  <c r="F101" i="48"/>
  <c r="M181" i="48"/>
  <c r="L181" i="48"/>
  <c r="N181" i="48"/>
  <c r="O205" i="46" l="1"/>
  <c r="K205" i="46"/>
  <c r="F99" i="46" s="1"/>
  <c r="I99" i="46" s="1"/>
  <c r="I101" i="46" s="1"/>
  <c r="I103" i="46" s="1"/>
  <c r="O181" i="48"/>
  <c r="K181" i="48"/>
  <c r="D205" i="46" l="1"/>
  <c r="D181" i="48"/>
  <c r="L241" i="46"/>
  <c r="D226" i="46"/>
  <c r="H109" i="46"/>
  <c r="H107" i="46"/>
  <c r="L193" i="48"/>
  <c r="F99" i="48" s="1"/>
  <c r="L99" i="48" s="1"/>
  <c r="D193" i="48"/>
  <c r="L244" i="46" l="1"/>
  <c r="D244" i="46" s="1"/>
  <c r="M229" i="46"/>
  <c r="D241" i="46"/>
  <c r="L229" i="46"/>
  <c r="N229" i="46"/>
  <c r="J99" i="48"/>
  <c r="F109" i="46"/>
  <c r="O229" i="46" l="1"/>
  <c r="K229" i="46"/>
  <c r="L251" i="46" l="1"/>
  <c r="F107" i="46" s="1"/>
  <c r="L107" i="46" s="1"/>
  <c r="D251" i="46"/>
  <c r="D229" i="46"/>
  <c r="J107" i="46" l="1"/>
  <c r="T7" i="34" l="1"/>
  <c r="AU12" i="32"/>
  <c r="AU11" i="32"/>
  <c r="AU9" i="32"/>
  <c r="AU10" i="32"/>
  <c r="AL6" i="1"/>
  <c r="AL5" i="1"/>
  <c r="AC48" i="39"/>
  <c r="AB48" i="39"/>
  <c r="AA48" i="39"/>
  <c r="AC47" i="39"/>
  <c r="AB47" i="39"/>
  <c r="AA47" i="39"/>
  <c r="AJ43" i="39"/>
  <c r="AC43" i="39"/>
  <c r="AI43" i="39" s="1"/>
  <c r="AJ42" i="39"/>
  <c r="AC42" i="39"/>
  <c r="AK42" i="39" s="1"/>
  <c r="AJ41" i="39"/>
  <c r="AC41" i="39"/>
  <c r="AI41" i="39" s="1"/>
  <c r="AJ40" i="39"/>
  <c r="AC40" i="39"/>
  <c r="AG40" i="39" s="1"/>
  <c r="AJ39" i="39"/>
  <c r="AC39" i="39"/>
  <c r="AI39" i="39" s="1"/>
  <c r="AJ38" i="39"/>
  <c r="AC38" i="39"/>
  <c r="AK38" i="39" s="1"/>
  <c r="AJ37" i="39"/>
  <c r="AC37" i="39"/>
  <c r="AI37" i="39" s="1"/>
  <c r="AJ36" i="39"/>
  <c r="AC36" i="39"/>
  <c r="AK36" i="39" s="1"/>
  <c r="AJ35" i="39"/>
  <c r="AC35" i="39"/>
  <c r="AI35" i="39" s="1"/>
  <c r="AJ34" i="39"/>
  <c r="AC34" i="39"/>
  <c r="AK34" i="39" s="1"/>
  <c r="AJ33" i="39"/>
  <c r="AC33" i="39"/>
  <c r="AI33" i="39" s="1"/>
  <c r="AJ32" i="39"/>
  <c r="AC32" i="39"/>
  <c r="AG32" i="39" s="1"/>
  <c r="AJ31" i="39"/>
  <c r="AC31" i="39"/>
  <c r="AI31" i="39" s="1"/>
  <c r="AJ30" i="39"/>
  <c r="AC30" i="39"/>
  <c r="AJ29" i="39"/>
  <c r="AC29" i="39"/>
  <c r="AI29" i="39" s="1"/>
  <c r="AJ28" i="39"/>
  <c r="AC28" i="39"/>
  <c r="AK28" i="39" s="1"/>
  <c r="AJ27" i="39"/>
  <c r="AC27" i="39"/>
  <c r="AI27" i="39" s="1"/>
  <c r="AJ26" i="39"/>
  <c r="AC26" i="39"/>
  <c r="AK26" i="39" s="1"/>
  <c r="AJ25" i="39"/>
  <c r="AC25" i="39"/>
  <c r="AI25" i="39" s="1"/>
  <c r="AJ24" i="39"/>
  <c r="AC24" i="39"/>
  <c r="AK24" i="39" s="1"/>
  <c r="AJ23" i="39"/>
  <c r="AC23" i="39"/>
  <c r="AI23" i="39" s="1"/>
  <c r="AJ22" i="39"/>
  <c r="AC22" i="39"/>
  <c r="AJ21" i="39"/>
  <c r="AC21" i="39"/>
  <c r="AI21" i="39" s="1"/>
  <c r="AJ20" i="39"/>
  <c r="AC20" i="39"/>
  <c r="AJ19" i="39"/>
  <c r="AC19" i="39"/>
  <c r="AI19" i="39" s="1"/>
  <c r="AJ18" i="39"/>
  <c r="AC18" i="39"/>
  <c r="AJ17" i="39"/>
  <c r="AC17" i="39"/>
  <c r="AI17" i="39" s="1"/>
  <c r="AJ16" i="39"/>
  <c r="AC16" i="39"/>
  <c r="AI16" i="39" s="1"/>
  <c r="AJ15" i="39"/>
  <c r="AC15" i="39"/>
  <c r="AE15" i="39" s="1"/>
  <c r="AJ14" i="39"/>
  <c r="AC14" i="39"/>
  <c r="AJ13" i="39"/>
  <c r="AC13" i="39"/>
  <c r="AE13" i="39" s="1"/>
  <c r="AJ12" i="39"/>
  <c r="AC12" i="39"/>
  <c r="AJ11" i="39"/>
  <c r="AC11" i="39"/>
  <c r="AG11" i="39" s="1"/>
  <c r="AC10" i="39"/>
  <c r="AJ9" i="39"/>
  <c r="AC9" i="39"/>
  <c r="AG9" i="39" s="1"/>
  <c r="AJ8" i="39"/>
  <c r="AC8" i="39"/>
  <c r="AJ7" i="39"/>
  <c r="AC7" i="39"/>
  <c r="AK7" i="39" s="1"/>
  <c r="AJ6" i="39"/>
  <c r="AC6" i="39"/>
  <c r="AI6" i="39" s="1"/>
  <c r="O10" i="38"/>
  <c r="O8" i="38"/>
  <c r="O6" i="38"/>
  <c r="AY11" i="39"/>
  <c r="AR11" i="39"/>
  <c r="AR10" i="39"/>
  <c r="AY9" i="39"/>
  <c r="AR9" i="39"/>
  <c r="AX9" i="39" s="1"/>
  <c r="AY8" i="39"/>
  <c r="AR8" i="39"/>
  <c r="AX8" i="39" s="1"/>
  <c r="AY7" i="39"/>
  <c r="AR7" i="39"/>
  <c r="AV7" i="39" s="1"/>
  <c r="AY6" i="39"/>
  <c r="AR6" i="39"/>
  <c r="W5" i="38"/>
  <c r="W6" i="38"/>
  <c r="W7" i="38"/>
  <c r="W8" i="38"/>
  <c r="W10" i="38"/>
  <c r="W12" i="38"/>
  <c r="AI9" i="39" l="1"/>
  <c r="AG26" i="39"/>
  <c r="AK22" i="39"/>
  <c r="AG36" i="39"/>
  <c r="AG22" i="39"/>
  <c r="AK32" i="39"/>
  <c r="AG42" i="39"/>
  <c r="AV9" i="39"/>
  <c r="AG28" i="39"/>
  <c r="AG24" i="39"/>
  <c r="AG34" i="39"/>
  <c r="AG38" i="39"/>
  <c r="AK20" i="39"/>
  <c r="AK30" i="39"/>
  <c r="AZ11" i="39"/>
  <c r="AE9" i="39"/>
  <c r="AG30" i="39"/>
  <c r="AK40" i="39"/>
  <c r="AK11" i="39"/>
  <c r="AI15" i="39"/>
  <c r="AG20" i="39"/>
  <c r="AG7" i="39"/>
  <c r="AK9" i="39"/>
  <c r="AI11" i="39"/>
  <c r="AE17" i="39"/>
  <c r="AE11" i="39"/>
  <c r="AK13" i="39"/>
  <c r="AV11" i="39"/>
  <c r="AX11" i="39"/>
  <c r="AX7" i="39"/>
  <c r="AZ9" i="39"/>
  <c r="AE10" i="39"/>
  <c r="AG10" i="39"/>
  <c r="AE12" i="39"/>
  <c r="AI12" i="39"/>
  <c r="AI14" i="39"/>
  <c r="AE14" i="39"/>
  <c r="AK14" i="39"/>
  <c r="AG8" i="39"/>
  <c r="AK8" i="39"/>
  <c r="AE8" i="39"/>
  <c r="AI8" i="39"/>
  <c r="AK18" i="39"/>
  <c r="AE18" i="39"/>
  <c r="AI18" i="39"/>
  <c r="AK16" i="39"/>
  <c r="AE6" i="39"/>
  <c r="AK6" i="39"/>
  <c r="AI7" i="39"/>
  <c r="AI10" i="39"/>
  <c r="AI13" i="39"/>
  <c r="AE16" i="39"/>
  <c r="AK17" i="39"/>
  <c r="AE19" i="39"/>
  <c r="AK19" i="39"/>
  <c r="AI20" i="39"/>
  <c r="AE21" i="39"/>
  <c r="AK21" i="39"/>
  <c r="AI22" i="39"/>
  <c r="AE23" i="39"/>
  <c r="AK23" i="39"/>
  <c r="AI24" i="39"/>
  <c r="AE25" i="39"/>
  <c r="AK25" i="39"/>
  <c r="AI26" i="39"/>
  <c r="AE27" i="39"/>
  <c r="AK27" i="39"/>
  <c r="AI28" i="39"/>
  <c r="AE29" i="39"/>
  <c r="AK29" i="39"/>
  <c r="AI30" i="39"/>
  <c r="AE31" i="39"/>
  <c r="AK31" i="39"/>
  <c r="AI32" i="39"/>
  <c r="AE33" i="39"/>
  <c r="AK33" i="39"/>
  <c r="AI34" i="39"/>
  <c r="AE35" i="39"/>
  <c r="AK35" i="39"/>
  <c r="AI36" i="39"/>
  <c r="AE37" i="39"/>
  <c r="AK37" i="39"/>
  <c r="AI38" i="39"/>
  <c r="AE39" i="39"/>
  <c r="AK39" i="39"/>
  <c r="AI40" i="39"/>
  <c r="AE41" i="39"/>
  <c r="AK41" i="39"/>
  <c r="AI42" i="39"/>
  <c r="AE43" i="39"/>
  <c r="AK43" i="39"/>
  <c r="AK12" i="39"/>
  <c r="AK15" i="39"/>
  <c r="AG23" i="39"/>
  <c r="AG31" i="39"/>
  <c r="AG41" i="39"/>
  <c r="AG43" i="39"/>
  <c r="AG6" i="39"/>
  <c r="AK10" i="39"/>
  <c r="AG19" i="39"/>
  <c r="AG21" i="39"/>
  <c r="AG25" i="39"/>
  <c r="AG27" i="39"/>
  <c r="AG29" i="39"/>
  <c r="AG33" i="39"/>
  <c r="AG35" i="39"/>
  <c r="AG37" i="39"/>
  <c r="AG39" i="39"/>
  <c r="AE7" i="39"/>
  <c r="AE20" i="39"/>
  <c r="AE22" i="39"/>
  <c r="AE24" i="39"/>
  <c r="AE26" i="39"/>
  <c r="AE28" i="39"/>
  <c r="AE30" i="39"/>
  <c r="AE32" i="39"/>
  <c r="AE34" i="39"/>
  <c r="AE36" i="39"/>
  <c r="AE38" i="39"/>
  <c r="AE40" i="39"/>
  <c r="AE42" i="39"/>
  <c r="AX6" i="39"/>
  <c r="AV6" i="39"/>
  <c r="AZ6" i="39"/>
  <c r="AT6" i="39"/>
  <c r="AV10" i="39"/>
  <c r="AT10" i="39"/>
  <c r="AZ10" i="39"/>
  <c r="AX10" i="39"/>
  <c r="AT8" i="39"/>
  <c r="AZ8" i="39"/>
  <c r="AT7" i="39"/>
  <c r="AZ7" i="39"/>
  <c r="AV8" i="39"/>
  <c r="AT9" i="39"/>
  <c r="AT11" i="39"/>
  <c r="W10" i="32"/>
  <c r="W9" i="32"/>
  <c r="W7" i="32"/>
  <c r="W8" i="32"/>
  <c r="AI48" i="39" l="1"/>
  <c r="AK48" i="39"/>
  <c r="AE48" i="39"/>
  <c r="AG48" i="39"/>
  <c r="AG47" i="39"/>
  <c r="AI47" i="39"/>
  <c r="AK47" i="39"/>
  <c r="AE47" i="39"/>
  <c r="C8" i="39" s="1"/>
  <c r="T5" i="34" l="1"/>
  <c r="AU8" i="32"/>
  <c r="AU7" i="32"/>
  <c r="W13" i="33" l="1"/>
  <c r="AA13" i="33" s="1"/>
  <c r="W12" i="33"/>
  <c r="AA12" i="33" s="1"/>
  <c r="W11" i="33"/>
  <c r="AA11" i="33" s="1"/>
  <c r="W10" i="33"/>
  <c r="AA10" i="33" s="1"/>
  <c r="W9" i="33"/>
  <c r="AA9" i="33" s="1"/>
  <c r="W8" i="33"/>
  <c r="AA8" i="33" s="1"/>
  <c r="W7" i="33"/>
  <c r="AA7" i="33" s="1"/>
  <c r="W6" i="33"/>
  <c r="AA6" i="33" s="1"/>
  <c r="O6" i="32"/>
  <c r="AM6" i="38" l="1"/>
  <c r="AM5" i="38"/>
  <c r="AE8" i="38" l="1"/>
  <c r="AE7" i="38"/>
  <c r="AE6" i="38"/>
  <c r="AE5" i="38"/>
  <c r="BN7" i="39"/>
  <c r="BG7" i="39"/>
  <c r="BM7" i="39" s="1"/>
  <c r="BN6" i="39"/>
  <c r="BG6" i="39"/>
  <c r="BO6" i="39" s="1"/>
  <c r="AU5" i="32"/>
  <c r="AU6" i="32"/>
  <c r="DO6" i="39"/>
  <c r="DU6" i="39" s="1"/>
  <c r="DP6" i="39"/>
  <c r="DQ6" i="39"/>
  <c r="DR6" i="39"/>
  <c r="DS6" i="39" s="1"/>
  <c r="DV6" i="39"/>
  <c r="DO7" i="39"/>
  <c r="DQ7" i="39" s="1"/>
  <c r="DV7" i="39"/>
  <c r="DU7" i="39" l="1"/>
  <c r="DS7" i="39"/>
  <c r="DW6" i="39"/>
  <c r="BK6" i="39"/>
  <c r="BM6" i="39"/>
  <c r="BI7" i="39"/>
  <c r="BO7" i="39"/>
  <c r="BK7" i="39"/>
  <c r="BI6" i="39"/>
  <c r="DW7" i="39"/>
  <c r="F11" i="42" l="1"/>
  <c r="E62" i="41"/>
  <c r="W60" i="41"/>
  <c r="N60" i="41"/>
  <c r="W59" i="41"/>
  <c r="N59" i="41"/>
  <c r="W58" i="41"/>
  <c r="N58" i="41"/>
  <c r="W57" i="41"/>
  <c r="N57" i="41"/>
  <c r="W56" i="41"/>
  <c r="N56" i="41"/>
  <c r="E55" i="41"/>
  <c r="AF54" i="41"/>
  <c r="N54" i="41"/>
  <c r="N53" i="41"/>
  <c r="N52" i="41"/>
  <c r="E49" i="41"/>
  <c r="N49" i="41" s="1"/>
  <c r="W48" i="41"/>
  <c r="N48" i="41"/>
  <c r="AF47" i="41"/>
  <c r="W47" i="41"/>
  <c r="N47" i="41"/>
  <c r="E47" i="41"/>
  <c r="W43" i="41"/>
  <c r="N43" i="41"/>
  <c r="AF42" i="41"/>
  <c r="W42" i="41"/>
  <c r="N42" i="41"/>
  <c r="N41" i="41"/>
  <c r="E33" i="41"/>
  <c r="E32" i="41"/>
  <c r="N31" i="41"/>
  <c r="E31" i="41"/>
  <c r="N28" i="41"/>
  <c r="N33" i="41" s="1"/>
  <c r="N27" i="41"/>
  <c r="N32" i="41" s="1"/>
  <c r="N26" i="41"/>
  <c r="E26" i="41"/>
  <c r="E19" i="41"/>
  <c r="E18" i="41"/>
  <c r="N14" i="41"/>
  <c r="N19" i="41" s="1"/>
  <c r="N13" i="41"/>
  <c r="N18" i="41" s="1"/>
  <c r="BI35" i="40"/>
  <c r="BI29" i="40"/>
  <c r="BB21" i="40"/>
  <c r="BB15" i="40"/>
  <c r="BB9" i="40"/>
  <c r="DO48" i="39"/>
  <c r="DN48" i="39"/>
  <c r="DM48" i="39"/>
  <c r="CZ48" i="39"/>
  <c r="CY48" i="39"/>
  <c r="CX48" i="39"/>
  <c r="CK48" i="39"/>
  <c r="CJ48" i="39"/>
  <c r="CI48" i="39"/>
  <c r="BV48" i="39"/>
  <c r="BU48" i="39"/>
  <c r="BT48" i="39"/>
  <c r="BG48" i="39"/>
  <c r="BF48" i="39"/>
  <c r="BE48" i="39"/>
  <c r="AR48" i="39"/>
  <c r="AQ48" i="39"/>
  <c r="AP48" i="39"/>
  <c r="N48" i="39"/>
  <c r="M48" i="39"/>
  <c r="L48" i="39"/>
  <c r="DO47" i="39"/>
  <c r="DN47" i="39"/>
  <c r="DM47" i="39"/>
  <c r="CZ47" i="39"/>
  <c r="CY47" i="39"/>
  <c r="CX47" i="39"/>
  <c r="CK47" i="39"/>
  <c r="CJ47" i="39"/>
  <c r="CI47" i="39"/>
  <c r="BV47" i="39"/>
  <c r="BU47" i="39"/>
  <c r="BT47" i="39"/>
  <c r="BG47" i="39"/>
  <c r="BF47" i="39"/>
  <c r="BE47" i="39"/>
  <c r="AR47" i="39"/>
  <c r="AQ47" i="39"/>
  <c r="AP47" i="39"/>
  <c r="N47" i="39"/>
  <c r="M47" i="39"/>
  <c r="L47" i="39"/>
  <c r="DV43" i="39"/>
  <c r="DO43" i="39"/>
  <c r="DG43" i="39"/>
  <c r="CZ43" i="39"/>
  <c r="CR43" i="39"/>
  <c r="CK43" i="39"/>
  <c r="CQ43" i="39" s="1"/>
  <c r="CC43" i="39"/>
  <c r="BV43" i="39"/>
  <c r="BN43" i="39"/>
  <c r="BG43" i="39"/>
  <c r="BM43" i="39" s="1"/>
  <c r="AY43" i="39"/>
  <c r="AR43" i="39"/>
  <c r="AX43" i="39" s="1"/>
  <c r="U43" i="39"/>
  <c r="N43" i="39"/>
  <c r="G43" i="39"/>
  <c r="G48" i="39" s="1"/>
  <c r="DV42" i="39"/>
  <c r="DO42" i="39"/>
  <c r="DG42" i="39"/>
  <c r="CZ42" i="39"/>
  <c r="DF42" i="39" s="1"/>
  <c r="CR42" i="39"/>
  <c r="CK42" i="39"/>
  <c r="CC42" i="39"/>
  <c r="CB42" i="39"/>
  <c r="BV42" i="39"/>
  <c r="BN42" i="39"/>
  <c r="BG42" i="39"/>
  <c r="BI42" i="39" s="1"/>
  <c r="AY42" i="39"/>
  <c r="AR42" i="39"/>
  <c r="U42" i="39"/>
  <c r="T42" i="39"/>
  <c r="R42" i="39"/>
  <c r="N42" i="39"/>
  <c r="G42" i="39"/>
  <c r="G47" i="39" s="1"/>
  <c r="DV41" i="39"/>
  <c r="DW41" i="39" s="1"/>
  <c r="DO41" i="39"/>
  <c r="DS41" i="39" s="1"/>
  <c r="DG41" i="39"/>
  <c r="CZ41" i="39"/>
  <c r="DF41" i="39" s="1"/>
  <c r="CR41" i="39"/>
  <c r="CK41" i="39"/>
  <c r="CS41" i="39" s="1"/>
  <c r="CC41" i="39"/>
  <c r="BV41" i="39"/>
  <c r="BN41" i="39"/>
  <c r="BK41" i="39"/>
  <c r="BI41" i="39"/>
  <c r="BG41" i="39"/>
  <c r="AY41" i="39"/>
  <c r="AR41" i="39"/>
  <c r="AX41" i="39" s="1"/>
  <c r="U41" i="39"/>
  <c r="N41" i="39"/>
  <c r="T41" i="39" s="1"/>
  <c r="DV40" i="39"/>
  <c r="DQ40" i="39"/>
  <c r="DO40" i="39"/>
  <c r="DG40" i="39"/>
  <c r="CZ40" i="39"/>
  <c r="DF40" i="39" s="1"/>
  <c r="CS40" i="39"/>
  <c r="CR40" i="39"/>
  <c r="CK40" i="39"/>
  <c r="CQ40" i="39" s="1"/>
  <c r="CC40" i="39"/>
  <c r="BV40" i="39"/>
  <c r="CB40" i="39" s="1"/>
  <c r="BN40" i="39"/>
  <c r="BG40" i="39"/>
  <c r="BO40" i="39" s="1"/>
  <c r="AY40" i="39"/>
  <c r="AR40" i="39"/>
  <c r="AX40" i="39" s="1"/>
  <c r="U40" i="39"/>
  <c r="N40" i="39"/>
  <c r="T40" i="39" s="1"/>
  <c r="DV39" i="39"/>
  <c r="DO39" i="39"/>
  <c r="DU39" i="39" s="1"/>
  <c r="DG39" i="39"/>
  <c r="CZ39" i="39"/>
  <c r="DF39" i="39" s="1"/>
  <c r="CR39" i="39"/>
  <c r="CK39" i="39"/>
  <c r="CC39" i="39"/>
  <c r="CB39" i="39"/>
  <c r="BV39" i="39"/>
  <c r="BN39" i="39"/>
  <c r="BO39" i="39" s="1"/>
  <c r="BK39" i="39"/>
  <c r="BG39" i="39"/>
  <c r="BM39" i="39" s="1"/>
  <c r="AY39" i="39"/>
  <c r="AR39" i="39"/>
  <c r="AX39" i="39" s="1"/>
  <c r="U39" i="39"/>
  <c r="N39" i="39"/>
  <c r="T39" i="39" s="1"/>
  <c r="DV38" i="39"/>
  <c r="DS38" i="39"/>
  <c r="DO38" i="39"/>
  <c r="DG38" i="39"/>
  <c r="CZ38" i="39"/>
  <c r="DF38" i="39" s="1"/>
  <c r="CR38" i="39"/>
  <c r="CK38" i="39"/>
  <c r="CQ38" i="39" s="1"/>
  <c r="CC38" i="39"/>
  <c r="BV38" i="39"/>
  <c r="BZ38" i="39" s="1"/>
  <c r="BN38" i="39"/>
  <c r="BG38" i="39"/>
  <c r="AY38" i="39"/>
  <c r="AR38" i="39"/>
  <c r="U38" i="39"/>
  <c r="N38" i="39"/>
  <c r="R38" i="39" s="1"/>
  <c r="DV37" i="39"/>
  <c r="DS37" i="39"/>
  <c r="DQ37" i="39"/>
  <c r="DO37" i="39"/>
  <c r="DU37" i="39" s="1"/>
  <c r="DG37" i="39"/>
  <c r="CZ37" i="39"/>
  <c r="CR37" i="39"/>
  <c r="CS37" i="39" s="1"/>
  <c r="CK37" i="39"/>
  <c r="CQ37" i="39" s="1"/>
  <c r="CC37" i="39"/>
  <c r="BV37" i="39"/>
  <c r="BO37" i="39"/>
  <c r="BN37" i="39"/>
  <c r="BG37" i="39"/>
  <c r="BM37" i="39" s="1"/>
  <c r="AY37" i="39"/>
  <c r="AR37" i="39"/>
  <c r="U37" i="39"/>
  <c r="N37" i="39"/>
  <c r="DV36" i="39"/>
  <c r="DO36" i="39"/>
  <c r="DG36" i="39"/>
  <c r="CZ36" i="39"/>
  <c r="CR36" i="39"/>
  <c r="CK36" i="39"/>
  <c r="CM36" i="39" s="1"/>
  <c r="CC36" i="39"/>
  <c r="BV36" i="39"/>
  <c r="BN36" i="39"/>
  <c r="BO36" i="39" s="1"/>
  <c r="BK36" i="39"/>
  <c r="BG36" i="39"/>
  <c r="BM36" i="39" s="1"/>
  <c r="AY36" i="39"/>
  <c r="AR36" i="39"/>
  <c r="U36" i="39"/>
  <c r="N36" i="39"/>
  <c r="DV35" i="39"/>
  <c r="DO35" i="39"/>
  <c r="DG35" i="39"/>
  <c r="CZ35" i="39"/>
  <c r="CR35" i="39"/>
  <c r="CK35" i="39"/>
  <c r="CC35" i="39"/>
  <c r="BV35" i="39"/>
  <c r="BN35" i="39"/>
  <c r="BG35" i="39"/>
  <c r="AY35" i="39"/>
  <c r="AR35" i="39"/>
  <c r="U35" i="39"/>
  <c r="N35" i="39"/>
  <c r="DV34" i="39"/>
  <c r="DO34" i="39"/>
  <c r="DU34" i="39" s="1"/>
  <c r="DG34" i="39"/>
  <c r="CZ34" i="39"/>
  <c r="CS34" i="39"/>
  <c r="CR34" i="39"/>
  <c r="CK34" i="39"/>
  <c r="CQ34" i="39" s="1"/>
  <c r="CC34" i="39"/>
  <c r="BV34" i="39"/>
  <c r="BN34" i="39"/>
  <c r="BG34" i="39"/>
  <c r="AY34" i="39"/>
  <c r="AR34" i="39"/>
  <c r="U34" i="39"/>
  <c r="N34" i="39"/>
  <c r="DV33" i="39"/>
  <c r="DW33" i="39" s="1"/>
  <c r="DS33" i="39"/>
  <c r="DQ33" i="39"/>
  <c r="DO33" i="39"/>
  <c r="DU33" i="39" s="1"/>
  <c r="DG33" i="39"/>
  <c r="CZ33" i="39"/>
  <c r="CR33" i="39"/>
  <c r="CS33" i="39" s="1"/>
  <c r="CK33" i="39"/>
  <c r="CQ33" i="39" s="1"/>
  <c r="CC33" i="39"/>
  <c r="BV33" i="39"/>
  <c r="BN33" i="39"/>
  <c r="BG33" i="39"/>
  <c r="AY33" i="39"/>
  <c r="AR33" i="39"/>
  <c r="U33" i="39"/>
  <c r="N33" i="39"/>
  <c r="DV32" i="39"/>
  <c r="DO32" i="39"/>
  <c r="DG32" i="39"/>
  <c r="DD32" i="39"/>
  <c r="CZ32" i="39"/>
  <c r="CR32" i="39"/>
  <c r="CK32" i="39"/>
  <c r="CQ32" i="39" s="1"/>
  <c r="CC32" i="39"/>
  <c r="BV32" i="39"/>
  <c r="CB32" i="39" s="1"/>
  <c r="BN32" i="39"/>
  <c r="BI32" i="39"/>
  <c r="BG32" i="39"/>
  <c r="AY32" i="39"/>
  <c r="AR32" i="39"/>
  <c r="U32" i="39"/>
  <c r="N32" i="39"/>
  <c r="T32" i="39" s="1"/>
  <c r="DV31" i="39"/>
  <c r="DO31" i="39"/>
  <c r="DU31" i="39" s="1"/>
  <c r="DG31" i="39"/>
  <c r="CZ31" i="39"/>
  <c r="CR31" i="39"/>
  <c r="CK31" i="39"/>
  <c r="CO31" i="39" s="1"/>
  <c r="CC31" i="39"/>
  <c r="CD31" i="39" s="1"/>
  <c r="BV31" i="39"/>
  <c r="CB31" i="39" s="1"/>
  <c r="BN31" i="39"/>
  <c r="BG31" i="39"/>
  <c r="BK31" i="39" s="1"/>
  <c r="AY31" i="39"/>
  <c r="AR31" i="39"/>
  <c r="AV31" i="39" s="1"/>
  <c r="U31" i="39"/>
  <c r="N31" i="39"/>
  <c r="V31" i="39" s="1"/>
  <c r="DV30" i="39"/>
  <c r="DO30" i="39"/>
  <c r="DQ30" i="39" s="1"/>
  <c r="DG30" i="39"/>
  <c r="DD30" i="39"/>
  <c r="DB30" i="39"/>
  <c r="CZ30" i="39"/>
  <c r="DF30" i="39" s="1"/>
  <c r="CR30" i="39"/>
  <c r="CK30" i="39"/>
  <c r="CC30" i="39"/>
  <c r="BV30" i="39"/>
  <c r="BX30" i="39" s="1"/>
  <c r="BN30" i="39"/>
  <c r="BG30" i="39"/>
  <c r="BK30" i="39" s="1"/>
  <c r="AY30" i="39"/>
  <c r="AR30" i="39"/>
  <c r="AX30" i="39" s="1"/>
  <c r="U30" i="39"/>
  <c r="V30" i="39" s="1"/>
  <c r="N30" i="39"/>
  <c r="T30" i="39" s="1"/>
  <c r="DV29" i="39"/>
  <c r="DO29" i="39"/>
  <c r="DS29" i="39" s="1"/>
  <c r="DG29" i="39"/>
  <c r="CZ29" i="39"/>
  <c r="DD29" i="39" s="1"/>
  <c r="CR29" i="39"/>
  <c r="CK29" i="39"/>
  <c r="CO29" i="39" s="1"/>
  <c r="CC29" i="39"/>
  <c r="BV29" i="39"/>
  <c r="BX29" i="39" s="1"/>
  <c r="BN29" i="39"/>
  <c r="BG29" i="39"/>
  <c r="BM29" i="39" s="1"/>
  <c r="AY29" i="39"/>
  <c r="AV29" i="39"/>
  <c r="AT29" i="39"/>
  <c r="AR29" i="39"/>
  <c r="AX29" i="39" s="1"/>
  <c r="U29" i="39"/>
  <c r="N29" i="39"/>
  <c r="R29" i="39" s="1"/>
  <c r="DV28" i="39"/>
  <c r="DO28" i="39"/>
  <c r="DU28" i="39" s="1"/>
  <c r="DG28" i="39"/>
  <c r="CZ28" i="39"/>
  <c r="DB28" i="39" s="1"/>
  <c r="CR28" i="39"/>
  <c r="CM28" i="39"/>
  <c r="CK28" i="39"/>
  <c r="CC28" i="39"/>
  <c r="BV28" i="39"/>
  <c r="CD28" i="39" s="1"/>
  <c r="BN28" i="39"/>
  <c r="BG28" i="39"/>
  <c r="AY28" i="39"/>
  <c r="AR28" i="39"/>
  <c r="AX28" i="39" s="1"/>
  <c r="U28" i="39"/>
  <c r="N28" i="39"/>
  <c r="DV27" i="39"/>
  <c r="DW27" i="39" s="1"/>
  <c r="DO27" i="39"/>
  <c r="DS27" i="39" s="1"/>
  <c r="DG27" i="39"/>
  <c r="CZ27" i="39"/>
  <c r="DH27" i="39" s="1"/>
  <c r="CR27" i="39"/>
  <c r="CK27" i="39"/>
  <c r="CO27" i="39" s="1"/>
  <c r="CC27" i="39"/>
  <c r="BV27" i="39"/>
  <c r="CB27" i="39" s="1"/>
  <c r="BN27" i="39"/>
  <c r="BI27" i="39"/>
  <c r="BG27" i="39"/>
  <c r="BK27" i="39" s="1"/>
  <c r="AY27" i="39"/>
  <c r="AR27" i="39"/>
  <c r="AV27" i="39" s="1"/>
  <c r="U27" i="39"/>
  <c r="N27" i="39"/>
  <c r="T27" i="39" s="1"/>
  <c r="DV26" i="39"/>
  <c r="DO26" i="39"/>
  <c r="DU26" i="39" s="1"/>
  <c r="DG26" i="39"/>
  <c r="CZ26" i="39"/>
  <c r="DF26" i="39" s="1"/>
  <c r="CR26" i="39"/>
  <c r="CQ26" i="39"/>
  <c r="CO26" i="39"/>
  <c r="CK26" i="39"/>
  <c r="CS26" i="39" s="1"/>
  <c r="CC26" i="39"/>
  <c r="BV26" i="39"/>
  <c r="BN26" i="39"/>
  <c r="BG26" i="39"/>
  <c r="BO26" i="39" s="1"/>
  <c r="AY26" i="39"/>
  <c r="AR26" i="39"/>
  <c r="U26" i="39"/>
  <c r="N26" i="39"/>
  <c r="T26" i="39" s="1"/>
  <c r="DV25" i="39"/>
  <c r="DW25" i="39" s="1"/>
  <c r="DS25" i="39"/>
  <c r="DQ25" i="39"/>
  <c r="DO25" i="39"/>
  <c r="DU25" i="39" s="1"/>
  <c r="DG25" i="39"/>
  <c r="DF25" i="39"/>
  <c r="CZ25" i="39"/>
  <c r="CR25" i="39"/>
  <c r="CK25" i="39"/>
  <c r="CC25" i="39"/>
  <c r="BV25" i="39"/>
  <c r="BN25" i="39"/>
  <c r="BG25" i="39"/>
  <c r="BK25" i="39" s="1"/>
  <c r="AY25" i="39"/>
  <c r="AR25" i="39"/>
  <c r="U25" i="39"/>
  <c r="N25" i="39"/>
  <c r="DV24" i="39"/>
  <c r="DW24" i="39" s="1"/>
  <c r="DO24" i="39"/>
  <c r="DU24" i="39" s="1"/>
  <c r="DG24" i="39"/>
  <c r="CZ24" i="39"/>
  <c r="CR24" i="39"/>
  <c r="CK24" i="39"/>
  <c r="CQ24" i="39" s="1"/>
  <c r="CC24" i="39"/>
  <c r="BV24" i="39"/>
  <c r="BN24" i="39"/>
  <c r="BI24" i="39"/>
  <c r="BG24" i="39"/>
  <c r="AY24" i="39"/>
  <c r="AR24" i="39"/>
  <c r="U24" i="39"/>
  <c r="N24" i="39"/>
  <c r="DV23" i="39"/>
  <c r="DQ23" i="39"/>
  <c r="DO23" i="39"/>
  <c r="DU23" i="39" s="1"/>
  <c r="DG23" i="39"/>
  <c r="CZ23" i="39"/>
  <c r="CR23" i="39"/>
  <c r="CS23" i="39" s="1"/>
  <c r="CK23" i="39"/>
  <c r="CQ23" i="39" s="1"/>
  <c r="CC23" i="39"/>
  <c r="BV23" i="39"/>
  <c r="BN23" i="39"/>
  <c r="BG23" i="39"/>
  <c r="AY23" i="39"/>
  <c r="AR23" i="39"/>
  <c r="U23" i="39"/>
  <c r="N23" i="39"/>
  <c r="DV22" i="39"/>
  <c r="DO22" i="39"/>
  <c r="DG22" i="39"/>
  <c r="CZ22" i="39"/>
  <c r="CR22" i="39"/>
  <c r="CO22" i="39"/>
  <c r="CM22" i="39"/>
  <c r="CK22" i="39"/>
  <c r="CQ22" i="39" s="1"/>
  <c r="CC22" i="39"/>
  <c r="BV22" i="39"/>
  <c r="BN22" i="39"/>
  <c r="BO22" i="39" s="1"/>
  <c r="BG22" i="39"/>
  <c r="BM22" i="39" s="1"/>
  <c r="AY22" i="39"/>
  <c r="AR22" i="39"/>
  <c r="U22" i="39"/>
  <c r="N22" i="39"/>
  <c r="DV21" i="39"/>
  <c r="DO21" i="39"/>
  <c r="DG21" i="39"/>
  <c r="CZ21" i="39"/>
  <c r="CR21" i="39"/>
  <c r="CS21" i="39" s="1"/>
  <c r="CO21" i="39"/>
  <c r="CK21" i="39"/>
  <c r="CQ21" i="39" s="1"/>
  <c r="CC21" i="39"/>
  <c r="BV21" i="39"/>
  <c r="BN21" i="39"/>
  <c r="BG21" i="39"/>
  <c r="AY21" i="39"/>
  <c r="AR21" i="39"/>
  <c r="U21" i="39"/>
  <c r="N21" i="39"/>
  <c r="DV20" i="39"/>
  <c r="DQ20" i="39"/>
  <c r="DO20" i="39"/>
  <c r="DU20" i="39" s="1"/>
  <c r="DG20" i="39"/>
  <c r="CZ20" i="39"/>
  <c r="DF20" i="39" s="1"/>
  <c r="CR20" i="39"/>
  <c r="CK20" i="39"/>
  <c r="CQ20" i="39" s="1"/>
  <c r="CC20" i="39"/>
  <c r="CB20" i="39"/>
  <c r="BV20" i="39"/>
  <c r="BZ20" i="39" s="1"/>
  <c r="BN20" i="39"/>
  <c r="BG20" i="39"/>
  <c r="BM20" i="39" s="1"/>
  <c r="AY20" i="39"/>
  <c r="AR20" i="39"/>
  <c r="AX20" i="39" s="1"/>
  <c r="U20" i="39"/>
  <c r="N20" i="39"/>
  <c r="DV19" i="39"/>
  <c r="DO19" i="39"/>
  <c r="DU19" i="39" s="1"/>
  <c r="DG19" i="39"/>
  <c r="CZ19" i="39"/>
  <c r="CR19" i="39"/>
  <c r="CK19" i="39"/>
  <c r="CC19" i="39"/>
  <c r="BV19" i="39"/>
  <c r="CB19" i="39" s="1"/>
  <c r="BN19" i="39"/>
  <c r="BG19" i="39"/>
  <c r="AY19" i="39"/>
  <c r="AR19" i="39"/>
  <c r="U19" i="39"/>
  <c r="N19" i="39"/>
  <c r="T19" i="39" s="1"/>
  <c r="DV18" i="39"/>
  <c r="DO18" i="39"/>
  <c r="DG18" i="39"/>
  <c r="DA18" i="39"/>
  <c r="CZ18" i="39"/>
  <c r="CR18" i="39"/>
  <c r="CO18" i="39"/>
  <c r="CM18" i="39"/>
  <c r="CK18" i="39"/>
  <c r="CQ18" i="39" s="1"/>
  <c r="CC18" i="39"/>
  <c r="BV18" i="39"/>
  <c r="CB18" i="39" s="1"/>
  <c r="BN18" i="39"/>
  <c r="BG18" i="39"/>
  <c r="AY18" i="39"/>
  <c r="AR18" i="39"/>
  <c r="U18" i="39"/>
  <c r="N18" i="39"/>
  <c r="DV17" i="39"/>
  <c r="DU17" i="39"/>
  <c r="DS17" i="39"/>
  <c r="DO17" i="39"/>
  <c r="DG17" i="39"/>
  <c r="CZ17" i="39"/>
  <c r="DB17" i="39" s="1"/>
  <c r="CR17" i="39"/>
  <c r="CK17" i="39"/>
  <c r="CC17" i="39"/>
  <c r="BV17" i="39"/>
  <c r="BX17" i="39" s="1"/>
  <c r="BN17" i="39"/>
  <c r="BG17" i="39"/>
  <c r="AY17" i="39"/>
  <c r="AR17" i="39"/>
  <c r="AT17" i="39" s="1"/>
  <c r="DV16" i="39"/>
  <c r="DO16" i="39"/>
  <c r="DW16" i="39" s="1"/>
  <c r="DG16" i="39"/>
  <c r="DA16" i="39"/>
  <c r="CZ16" i="39"/>
  <c r="CR16" i="39"/>
  <c r="CO16" i="39"/>
  <c r="CK16" i="39"/>
  <c r="CQ16" i="39" s="1"/>
  <c r="CC16" i="39"/>
  <c r="BV16" i="39"/>
  <c r="CB16" i="39" s="1"/>
  <c r="BN16" i="39"/>
  <c r="BG16" i="39"/>
  <c r="BK16" i="39" s="1"/>
  <c r="AY16" i="39"/>
  <c r="AR16" i="39"/>
  <c r="DV15" i="39"/>
  <c r="DO15" i="39"/>
  <c r="DQ15" i="39" s="1"/>
  <c r="DG15" i="39"/>
  <c r="CZ15" i="39"/>
  <c r="CR15" i="39"/>
  <c r="CK15" i="39"/>
  <c r="CM15" i="39" s="1"/>
  <c r="CC15" i="39"/>
  <c r="CB15" i="39"/>
  <c r="BV15" i="39"/>
  <c r="BZ15" i="39" s="1"/>
  <c r="BN15" i="39"/>
  <c r="BO15" i="39" s="1"/>
  <c r="BM15" i="39"/>
  <c r="BK15" i="39"/>
  <c r="BI15" i="39"/>
  <c r="AY15" i="39"/>
  <c r="AV15" i="39"/>
  <c r="AR15" i="39"/>
  <c r="DV14" i="39"/>
  <c r="DO14" i="39"/>
  <c r="DW14" i="39" s="1"/>
  <c r="DG14" i="39"/>
  <c r="DA14" i="39"/>
  <c r="CZ14" i="39"/>
  <c r="CR14" i="39"/>
  <c r="CK14" i="39"/>
  <c r="CC14" i="39"/>
  <c r="BV14" i="39"/>
  <c r="CD14" i="39" s="1"/>
  <c r="BN14" i="39"/>
  <c r="BO14" i="39" s="1"/>
  <c r="BM14" i="39"/>
  <c r="BK14" i="39"/>
  <c r="BI14" i="39"/>
  <c r="AY14" i="39"/>
  <c r="AR14" i="39"/>
  <c r="DV13" i="39"/>
  <c r="DO13" i="39"/>
  <c r="DQ13" i="39" s="1"/>
  <c r="DG13" i="39"/>
  <c r="CZ13" i="39"/>
  <c r="CR13" i="39"/>
  <c r="CK13" i="39"/>
  <c r="CM13" i="39" s="1"/>
  <c r="CC13" i="39"/>
  <c r="BV13" i="39"/>
  <c r="E13" i="39"/>
  <c r="DV12" i="39"/>
  <c r="DO12" i="39"/>
  <c r="DG12" i="39"/>
  <c r="DA12" i="39"/>
  <c r="CZ12" i="39"/>
  <c r="DF12" i="39" s="1"/>
  <c r="CR12" i="39"/>
  <c r="CL12" i="39"/>
  <c r="CK12" i="39"/>
  <c r="CQ12" i="39" s="1"/>
  <c r="CC12" i="39"/>
  <c r="BV12" i="39"/>
  <c r="E12" i="39"/>
  <c r="DV11" i="39"/>
  <c r="DO11" i="39"/>
  <c r="DU11" i="39" s="1"/>
  <c r="DG11" i="39"/>
  <c r="CZ11" i="39"/>
  <c r="DD11" i="39" s="1"/>
  <c r="CR11" i="39"/>
  <c r="CK11" i="39"/>
  <c r="CC11" i="39"/>
  <c r="BV11" i="39"/>
  <c r="CB11" i="39" s="1"/>
  <c r="DW10" i="39"/>
  <c r="DO10" i="39"/>
  <c r="DQ10" i="39" s="1"/>
  <c r="DA10" i="39"/>
  <c r="CZ10" i="39"/>
  <c r="CL10" i="39"/>
  <c r="CK10" i="39"/>
  <c r="CQ10" i="39" s="1"/>
  <c r="CB10" i="39"/>
  <c r="BZ10" i="39"/>
  <c r="BV10" i="39"/>
  <c r="CD10" i="39" s="1"/>
  <c r="DV9" i="39"/>
  <c r="DO9" i="39"/>
  <c r="DQ9" i="39" s="1"/>
  <c r="DG9" i="39"/>
  <c r="CZ9" i="39"/>
  <c r="DF9" i="39" s="1"/>
  <c r="CR9" i="39"/>
  <c r="CK9" i="39"/>
  <c r="CM9" i="39" s="1"/>
  <c r="DV8" i="39"/>
  <c r="DO8" i="39"/>
  <c r="DG8" i="39"/>
  <c r="DA8" i="39"/>
  <c r="CZ8" i="39"/>
  <c r="CR8" i="39"/>
  <c r="CL8" i="39"/>
  <c r="CK8" i="39"/>
  <c r="DG7" i="39"/>
  <c r="DH7" i="39" s="1"/>
  <c r="DF7" i="39"/>
  <c r="DD7" i="39"/>
  <c r="CZ7" i="39"/>
  <c r="DB7" i="39" s="1"/>
  <c r="CR7" i="39"/>
  <c r="CM7" i="39"/>
  <c r="CK7" i="39"/>
  <c r="DG6" i="39"/>
  <c r="DH6" i="39" s="1"/>
  <c r="DD6" i="39"/>
  <c r="DA6" i="39"/>
  <c r="CZ6" i="39"/>
  <c r="DF6" i="39" s="1"/>
  <c r="CR6" i="39"/>
  <c r="CL6" i="39"/>
  <c r="CK6" i="39"/>
  <c r="CO6" i="39" s="1"/>
  <c r="W57" i="38"/>
  <c r="W56" i="38"/>
  <c r="CA46" i="38"/>
  <c r="BS46" i="38"/>
  <c r="BK46" i="38"/>
  <c r="BC46" i="38"/>
  <c r="AU46" i="38"/>
  <c r="AM46" i="38"/>
  <c r="AE46" i="38"/>
  <c r="G46" i="38"/>
  <c r="CA45" i="38"/>
  <c r="BS45" i="38"/>
  <c r="BK45" i="38"/>
  <c r="BC45" i="38"/>
  <c r="AU45" i="38"/>
  <c r="AM45" i="38"/>
  <c r="AE45" i="38"/>
  <c r="G45" i="38"/>
  <c r="CA44" i="38"/>
  <c r="BS44" i="38"/>
  <c r="BK44" i="38"/>
  <c r="BC44" i="38"/>
  <c r="AU44" i="38"/>
  <c r="AM44" i="38"/>
  <c r="AE44" i="38"/>
  <c r="W44" i="38"/>
  <c r="O44" i="38"/>
  <c r="G44" i="38"/>
  <c r="CA43" i="38"/>
  <c r="BS43" i="38"/>
  <c r="BK43" i="38"/>
  <c r="BC43" i="38"/>
  <c r="AU43" i="38"/>
  <c r="AM43" i="38"/>
  <c r="AE43" i="38"/>
  <c r="W43" i="38"/>
  <c r="O43" i="38"/>
  <c r="G43" i="38"/>
  <c r="CA42" i="38"/>
  <c r="BS42" i="38"/>
  <c r="BK42" i="38"/>
  <c r="BC42" i="38"/>
  <c r="AU42" i="38"/>
  <c r="AM42" i="38"/>
  <c r="AE42" i="38"/>
  <c r="W42" i="38"/>
  <c r="O42" i="38"/>
  <c r="G42" i="38"/>
  <c r="CA41" i="38"/>
  <c r="BS41" i="38"/>
  <c r="BK41" i="38"/>
  <c r="BC41" i="38"/>
  <c r="AU41" i="38"/>
  <c r="AM41" i="38"/>
  <c r="AE41" i="38"/>
  <c r="W41" i="38"/>
  <c r="O41" i="38"/>
  <c r="G41" i="38"/>
  <c r="CA40" i="38"/>
  <c r="BS40" i="38"/>
  <c r="BK40" i="38"/>
  <c r="BC40" i="38"/>
  <c r="AU40" i="38"/>
  <c r="AM40" i="38"/>
  <c r="AE40" i="38"/>
  <c r="W40" i="38"/>
  <c r="O40" i="38"/>
  <c r="G40" i="38"/>
  <c r="CA39" i="38"/>
  <c r="BS39" i="38"/>
  <c r="BK39" i="38"/>
  <c r="BC39" i="38"/>
  <c r="AU39" i="38"/>
  <c r="AM39" i="38"/>
  <c r="AE39" i="38"/>
  <c r="W39" i="38"/>
  <c r="O39" i="38"/>
  <c r="G39" i="38"/>
  <c r="CA38" i="38"/>
  <c r="BS38" i="38"/>
  <c r="BK38" i="38"/>
  <c r="BC38" i="38"/>
  <c r="AU38" i="38"/>
  <c r="AM38" i="38"/>
  <c r="AE38" i="38"/>
  <c r="W38" i="38"/>
  <c r="O38" i="38"/>
  <c r="G38" i="38"/>
  <c r="CA37" i="38"/>
  <c r="BS37" i="38"/>
  <c r="BK37" i="38"/>
  <c r="BC37" i="38"/>
  <c r="AU37" i="38"/>
  <c r="AM37" i="38"/>
  <c r="AE37" i="38"/>
  <c r="W37" i="38"/>
  <c r="O37" i="38"/>
  <c r="G37" i="38"/>
  <c r="CA36" i="38"/>
  <c r="BS36" i="38"/>
  <c r="BK36" i="38"/>
  <c r="BC36" i="38"/>
  <c r="AU36" i="38"/>
  <c r="AM36" i="38"/>
  <c r="AE36" i="38"/>
  <c r="W36" i="38"/>
  <c r="O36" i="38"/>
  <c r="G36" i="38"/>
  <c r="CA35" i="38"/>
  <c r="BS35" i="38"/>
  <c r="BK35" i="38"/>
  <c r="BC35" i="38"/>
  <c r="AU35" i="38"/>
  <c r="AM35" i="38"/>
  <c r="AE35" i="38"/>
  <c r="W35" i="38"/>
  <c r="O35" i="38"/>
  <c r="G35" i="38"/>
  <c r="CA34" i="38"/>
  <c r="BS34" i="38"/>
  <c r="BK34" i="38"/>
  <c r="BC34" i="38"/>
  <c r="AU34" i="38"/>
  <c r="AM34" i="38"/>
  <c r="AE34" i="38"/>
  <c r="W34" i="38"/>
  <c r="O34" i="38"/>
  <c r="G34" i="38"/>
  <c r="CA33" i="38"/>
  <c r="BS33" i="38"/>
  <c r="BK33" i="38"/>
  <c r="BC33" i="38"/>
  <c r="AU33" i="38"/>
  <c r="AM33" i="38"/>
  <c r="AE33" i="38"/>
  <c r="W33" i="38"/>
  <c r="O33" i="38"/>
  <c r="G33" i="38"/>
  <c r="CA32" i="38"/>
  <c r="BS32" i="38"/>
  <c r="BK32" i="38"/>
  <c r="BC32" i="38"/>
  <c r="AU32" i="38"/>
  <c r="AM32" i="38"/>
  <c r="AE32" i="38"/>
  <c r="W32" i="38"/>
  <c r="O32" i="38"/>
  <c r="G32" i="38"/>
  <c r="CA31" i="38"/>
  <c r="BS31" i="38"/>
  <c r="BK31" i="38"/>
  <c r="BC31" i="38"/>
  <c r="AU31" i="38"/>
  <c r="AM31" i="38"/>
  <c r="AE31" i="38"/>
  <c r="W31" i="38"/>
  <c r="O31" i="38"/>
  <c r="G31" i="38"/>
  <c r="CA30" i="38"/>
  <c r="BS30" i="38"/>
  <c r="BK30" i="38"/>
  <c r="BC30" i="38"/>
  <c r="AU30" i="38"/>
  <c r="AM30" i="38"/>
  <c r="AE30" i="38"/>
  <c r="W30" i="38"/>
  <c r="O30" i="38"/>
  <c r="G30" i="38"/>
  <c r="CA29" i="38"/>
  <c r="BS29" i="38"/>
  <c r="BK29" i="38"/>
  <c r="BC29" i="38"/>
  <c r="AU29" i="38"/>
  <c r="AM29" i="38"/>
  <c r="AE29" i="38"/>
  <c r="W29" i="38"/>
  <c r="O29" i="38"/>
  <c r="G29" i="38"/>
  <c r="CA28" i="38"/>
  <c r="BS28" i="38"/>
  <c r="BK28" i="38"/>
  <c r="BC28" i="38"/>
  <c r="AU28" i="38"/>
  <c r="AM28" i="38"/>
  <c r="AE28" i="38"/>
  <c r="W28" i="38"/>
  <c r="O28" i="38"/>
  <c r="G28" i="38"/>
  <c r="CA27" i="38"/>
  <c r="BS27" i="38"/>
  <c r="BK27" i="38"/>
  <c r="BC27" i="38"/>
  <c r="AU27" i="38"/>
  <c r="AM27" i="38"/>
  <c r="AE27" i="38"/>
  <c r="W27" i="38"/>
  <c r="O27" i="38"/>
  <c r="G27" i="38"/>
  <c r="CA26" i="38"/>
  <c r="BS26" i="38"/>
  <c r="BK26" i="38"/>
  <c r="BC26" i="38"/>
  <c r="AU26" i="38"/>
  <c r="AM26" i="38"/>
  <c r="AE26" i="38"/>
  <c r="W26" i="38"/>
  <c r="O26" i="38"/>
  <c r="G26" i="38"/>
  <c r="CA25" i="38"/>
  <c r="BK25" i="38"/>
  <c r="BC25" i="38"/>
  <c r="AU25" i="38"/>
  <c r="AM25" i="38"/>
  <c r="AE25" i="38"/>
  <c r="W25" i="38"/>
  <c r="O25" i="38"/>
  <c r="G25" i="38"/>
  <c r="CA24" i="38"/>
  <c r="BS24" i="38"/>
  <c r="BK24" i="38"/>
  <c r="BC24" i="38"/>
  <c r="AU24" i="38"/>
  <c r="AM24" i="38"/>
  <c r="AE24" i="38"/>
  <c r="W24" i="38"/>
  <c r="O24" i="38"/>
  <c r="G24" i="38"/>
  <c r="CA23" i="38"/>
  <c r="BS25" i="38"/>
  <c r="BK23" i="38"/>
  <c r="BC23" i="38"/>
  <c r="AU23" i="38"/>
  <c r="AM23" i="38"/>
  <c r="AE23" i="38"/>
  <c r="W23" i="38"/>
  <c r="O23" i="38"/>
  <c r="G23" i="38"/>
  <c r="CA22" i="38"/>
  <c r="BS22" i="38"/>
  <c r="BK22" i="38"/>
  <c r="BC22" i="38"/>
  <c r="AU22" i="38"/>
  <c r="AM22" i="38"/>
  <c r="AE22" i="38"/>
  <c r="W22" i="38"/>
  <c r="O22" i="38"/>
  <c r="G22" i="38"/>
  <c r="CA21" i="38"/>
  <c r="BS21" i="38"/>
  <c r="BK21" i="38"/>
  <c r="BC21" i="38"/>
  <c r="AU21" i="38"/>
  <c r="AM21" i="38"/>
  <c r="AE21" i="38"/>
  <c r="W21" i="38"/>
  <c r="O21" i="38"/>
  <c r="G21" i="38"/>
  <c r="CA20" i="38"/>
  <c r="BS20" i="38"/>
  <c r="BK20" i="38"/>
  <c r="BC20" i="38"/>
  <c r="AU20" i="38"/>
  <c r="AM20" i="38"/>
  <c r="AE20" i="38"/>
  <c r="W20" i="38"/>
  <c r="O20" i="38"/>
  <c r="G20" i="38"/>
  <c r="CA19" i="38"/>
  <c r="BS19" i="38"/>
  <c r="BK19" i="38"/>
  <c r="BC19" i="38"/>
  <c r="AU19" i="38"/>
  <c r="AM19" i="38"/>
  <c r="AE19" i="38"/>
  <c r="W19" i="38"/>
  <c r="O19" i="38"/>
  <c r="G19" i="38"/>
  <c r="CA18" i="38"/>
  <c r="BS18" i="38"/>
  <c r="BK18" i="38"/>
  <c r="BC18" i="38"/>
  <c r="AU18" i="38"/>
  <c r="AM18" i="38"/>
  <c r="AE18" i="38"/>
  <c r="W18" i="38"/>
  <c r="O18" i="38"/>
  <c r="G18" i="38"/>
  <c r="CA17" i="38"/>
  <c r="BK17" i="38"/>
  <c r="BC17" i="38"/>
  <c r="AU17" i="38"/>
  <c r="AM17" i="38"/>
  <c r="AE17" i="38"/>
  <c r="W17" i="38"/>
  <c r="O17" i="38"/>
  <c r="G17" i="38"/>
  <c r="CA16" i="38"/>
  <c r="BS16" i="38"/>
  <c r="BK16" i="38"/>
  <c r="BC16" i="38"/>
  <c r="AU16" i="38"/>
  <c r="AM16" i="38"/>
  <c r="AM48" i="38" s="1"/>
  <c r="H25" i="37" s="1"/>
  <c r="F25" i="37" s="1"/>
  <c r="I25" i="37" s="1"/>
  <c r="AE16" i="38"/>
  <c r="W16" i="38"/>
  <c r="O16" i="38"/>
  <c r="CA15" i="38"/>
  <c r="BS17" i="38"/>
  <c r="BK15" i="38"/>
  <c r="BC15" i="38"/>
  <c r="AU15" i="38"/>
  <c r="AM15" i="38"/>
  <c r="AE15" i="38"/>
  <c r="W15" i="38"/>
  <c r="O15" i="38"/>
  <c r="CA14" i="38"/>
  <c r="BS14" i="38"/>
  <c r="BK14" i="38"/>
  <c r="BC14" i="38"/>
  <c r="AU14" i="38"/>
  <c r="AE14" i="38"/>
  <c r="O14" i="38"/>
  <c r="CA13" i="38"/>
  <c r="BS13" i="38"/>
  <c r="BK13" i="38"/>
  <c r="BC13" i="38"/>
  <c r="AU13" i="38"/>
  <c r="AE13" i="38"/>
  <c r="O13" i="38"/>
  <c r="CA12" i="38"/>
  <c r="BS12" i="38"/>
  <c r="BK12" i="38"/>
  <c r="BC12" i="38"/>
  <c r="AU12" i="38"/>
  <c r="AE12" i="38"/>
  <c r="O12" i="38"/>
  <c r="CA11" i="38"/>
  <c r="BS11" i="38"/>
  <c r="BK11" i="38"/>
  <c r="BC11" i="38"/>
  <c r="AU11" i="38"/>
  <c r="AE11" i="38"/>
  <c r="O11" i="38"/>
  <c r="CA10" i="38"/>
  <c r="BK10" i="38"/>
  <c r="BC10" i="38"/>
  <c r="AU10" i="38"/>
  <c r="CA9" i="38"/>
  <c r="BS9" i="38"/>
  <c r="BK9" i="38"/>
  <c r="BC9" i="38"/>
  <c r="AU9" i="38"/>
  <c r="CA8" i="38"/>
  <c r="BS8" i="38"/>
  <c r="BK8" i="38"/>
  <c r="BC8" i="38"/>
  <c r="AU8" i="38"/>
  <c r="CA7" i="38"/>
  <c r="BS7" i="38"/>
  <c r="BK7" i="38"/>
  <c r="BC7" i="38"/>
  <c r="CA6" i="38"/>
  <c r="BS6" i="38"/>
  <c r="BK6" i="38"/>
  <c r="BC6" i="38"/>
  <c r="AU6" i="38"/>
  <c r="CA5" i="38"/>
  <c r="BS5" i="38"/>
  <c r="F183" i="37"/>
  <c r="F182" i="37"/>
  <c r="I53" i="37"/>
  <c r="I52" i="37"/>
  <c r="I51" i="37"/>
  <c r="I50" i="37"/>
  <c r="B35" i="35"/>
  <c r="B20" i="35"/>
  <c r="B11" i="35"/>
  <c r="B9" i="35"/>
  <c r="B7" i="35"/>
  <c r="AQ43" i="33"/>
  <c r="AU43" i="33" s="1"/>
  <c r="W43" i="33"/>
  <c r="AA43" i="33" s="1"/>
  <c r="G43" i="33"/>
  <c r="G48" i="33" s="1"/>
  <c r="AQ42" i="33"/>
  <c r="AU42" i="33" s="1"/>
  <c r="W42" i="33"/>
  <c r="AA42" i="33" s="1"/>
  <c r="G42" i="33"/>
  <c r="G47" i="33" s="1"/>
  <c r="AQ41" i="33"/>
  <c r="AU41" i="33" s="1"/>
  <c r="AK41" i="33"/>
  <c r="AJ41" i="33"/>
  <c r="W41" i="33"/>
  <c r="AA41" i="33" s="1"/>
  <c r="Q41" i="33"/>
  <c r="P41" i="33"/>
  <c r="O41" i="33"/>
  <c r="AQ40" i="33"/>
  <c r="AU40" i="33" s="1"/>
  <c r="AK40" i="33"/>
  <c r="AJ40" i="33"/>
  <c r="W40" i="33"/>
  <c r="AA40" i="33" s="1"/>
  <c r="Q40" i="33"/>
  <c r="P40" i="33"/>
  <c r="O40" i="33"/>
  <c r="AQ39" i="33"/>
  <c r="AU39" i="33" s="1"/>
  <c r="AK39" i="33"/>
  <c r="AJ39" i="33"/>
  <c r="W39" i="33"/>
  <c r="AA39" i="33" s="1"/>
  <c r="Q39" i="33"/>
  <c r="P39" i="33"/>
  <c r="O39" i="33"/>
  <c r="AQ38" i="33"/>
  <c r="AU38" i="33" s="1"/>
  <c r="AK38" i="33"/>
  <c r="AJ38" i="33"/>
  <c r="W38" i="33"/>
  <c r="AA38" i="33" s="1"/>
  <c r="Q38" i="33"/>
  <c r="P38" i="33"/>
  <c r="O38" i="33"/>
  <c r="AQ37" i="33"/>
  <c r="AU37" i="33" s="1"/>
  <c r="AK37" i="33"/>
  <c r="AJ37" i="33"/>
  <c r="W37" i="33"/>
  <c r="AA37" i="33" s="1"/>
  <c r="Q37" i="33"/>
  <c r="P37" i="33"/>
  <c r="O37" i="33"/>
  <c r="AQ36" i="33"/>
  <c r="AU36" i="33" s="1"/>
  <c r="AK36" i="33"/>
  <c r="AJ36" i="33"/>
  <c r="W36" i="33"/>
  <c r="AA36" i="33" s="1"/>
  <c r="Q36" i="33"/>
  <c r="P36" i="33"/>
  <c r="O36" i="33"/>
  <c r="AQ35" i="33"/>
  <c r="AU35" i="33" s="1"/>
  <c r="AK35" i="33"/>
  <c r="AJ35" i="33"/>
  <c r="W35" i="33"/>
  <c r="AA35" i="33" s="1"/>
  <c r="Q35" i="33"/>
  <c r="P35" i="33"/>
  <c r="O35" i="33"/>
  <c r="AQ34" i="33"/>
  <c r="AU34" i="33" s="1"/>
  <c r="AK34" i="33"/>
  <c r="AJ34" i="33"/>
  <c r="W34" i="33"/>
  <c r="AA34" i="33" s="1"/>
  <c r="Q34" i="33"/>
  <c r="P34" i="33"/>
  <c r="O34" i="33"/>
  <c r="AQ33" i="33"/>
  <c r="AU33" i="33" s="1"/>
  <c r="AK33" i="33"/>
  <c r="AJ33" i="33"/>
  <c r="W33" i="33"/>
  <c r="AA33" i="33" s="1"/>
  <c r="Q33" i="33"/>
  <c r="P33" i="33"/>
  <c r="O33" i="33"/>
  <c r="AQ32" i="33"/>
  <c r="AU32" i="33" s="1"/>
  <c r="AK32" i="33"/>
  <c r="AJ32" i="33"/>
  <c r="W32" i="33"/>
  <c r="AA32" i="33" s="1"/>
  <c r="Q32" i="33"/>
  <c r="P32" i="33"/>
  <c r="O32" i="33"/>
  <c r="AQ31" i="33"/>
  <c r="AU31" i="33" s="1"/>
  <c r="AK31" i="33"/>
  <c r="AJ31" i="33"/>
  <c r="W31" i="33"/>
  <c r="AA31" i="33" s="1"/>
  <c r="Q31" i="33"/>
  <c r="P31" i="33"/>
  <c r="O31" i="33"/>
  <c r="AQ30" i="33"/>
  <c r="AU30" i="33" s="1"/>
  <c r="AK30" i="33"/>
  <c r="AJ30" i="33"/>
  <c r="W30" i="33"/>
  <c r="AA30" i="33" s="1"/>
  <c r="Q30" i="33"/>
  <c r="P30" i="33"/>
  <c r="O30" i="33"/>
  <c r="AQ29" i="33"/>
  <c r="AU29" i="33" s="1"/>
  <c r="AK29" i="33"/>
  <c r="AJ29" i="33"/>
  <c r="W29" i="33"/>
  <c r="AA29" i="33" s="1"/>
  <c r="Q29" i="33"/>
  <c r="P29" i="33"/>
  <c r="O29" i="33"/>
  <c r="AQ28" i="33"/>
  <c r="AU28" i="33" s="1"/>
  <c r="AK28" i="33"/>
  <c r="AJ28" i="33"/>
  <c r="W28" i="33"/>
  <c r="AA28" i="33" s="1"/>
  <c r="Q28" i="33"/>
  <c r="P28" i="33"/>
  <c r="O28" i="33"/>
  <c r="AQ27" i="33"/>
  <c r="AU27" i="33" s="1"/>
  <c r="AK27" i="33"/>
  <c r="AJ27" i="33"/>
  <c r="W27" i="33"/>
  <c r="AA27" i="33" s="1"/>
  <c r="Q27" i="33"/>
  <c r="P27" i="33"/>
  <c r="O27" i="33"/>
  <c r="AQ26" i="33"/>
  <c r="AU26" i="33" s="1"/>
  <c r="AK26" i="33"/>
  <c r="AJ26" i="33"/>
  <c r="W26" i="33"/>
  <c r="AA26" i="33" s="1"/>
  <c r="Q26" i="33"/>
  <c r="P26" i="33"/>
  <c r="O26" i="33"/>
  <c r="AQ25" i="33"/>
  <c r="AU25" i="33" s="1"/>
  <c r="AK25" i="33"/>
  <c r="AJ25" i="33"/>
  <c r="W25" i="33"/>
  <c r="AA25" i="33" s="1"/>
  <c r="Q25" i="33"/>
  <c r="P25" i="33"/>
  <c r="O25" i="33"/>
  <c r="AQ24" i="33"/>
  <c r="AU24" i="33" s="1"/>
  <c r="AK24" i="33"/>
  <c r="AJ24" i="33"/>
  <c r="W24" i="33"/>
  <c r="AA24" i="33" s="1"/>
  <c r="Q24" i="33"/>
  <c r="P24" i="33"/>
  <c r="O24" i="33"/>
  <c r="AQ23" i="33"/>
  <c r="AU23" i="33" s="1"/>
  <c r="AK23" i="33"/>
  <c r="AJ23" i="33"/>
  <c r="W23" i="33"/>
  <c r="AA23" i="33" s="1"/>
  <c r="Q23" i="33"/>
  <c r="P23" i="33"/>
  <c r="O23" i="33"/>
  <c r="AQ22" i="33"/>
  <c r="AU22" i="33" s="1"/>
  <c r="AK22" i="33"/>
  <c r="AJ22" i="33"/>
  <c r="W22" i="33"/>
  <c r="AA22" i="33" s="1"/>
  <c r="Q22" i="33"/>
  <c r="P22" i="33"/>
  <c r="O22" i="33"/>
  <c r="AQ21" i="33"/>
  <c r="AU21" i="33" s="1"/>
  <c r="AK21" i="33"/>
  <c r="AJ21" i="33"/>
  <c r="W21" i="33"/>
  <c r="AA21" i="33" s="1"/>
  <c r="Q21" i="33"/>
  <c r="Q43" i="33" s="1"/>
  <c r="K53" i="33" s="1"/>
  <c r="Q53" i="33" s="1"/>
  <c r="Q55" i="33" s="1"/>
  <c r="Q48" i="33" s="1"/>
  <c r="E7" i="33" s="1"/>
  <c r="P21" i="33"/>
  <c r="O21" i="33"/>
  <c r="AQ20" i="33"/>
  <c r="AU20" i="33" s="1"/>
  <c r="AK20" i="33"/>
  <c r="AJ20" i="33"/>
  <c r="W20" i="33"/>
  <c r="AA20" i="33" s="1"/>
  <c r="Q20" i="33"/>
  <c r="P20" i="33"/>
  <c r="O20" i="33"/>
  <c r="AQ19" i="33"/>
  <c r="AU19" i="33" s="1"/>
  <c r="AK19" i="33"/>
  <c r="AJ19" i="33"/>
  <c r="W19" i="33"/>
  <c r="AA19" i="33" s="1"/>
  <c r="Q19" i="33"/>
  <c r="P19" i="33"/>
  <c r="P43" i="33" s="1"/>
  <c r="K51" i="33" s="1"/>
  <c r="O51" i="33" s="1"/>
  <c r="O55" i="33" s="1"/>
  <c r="O48" i="33" s="1"/>
  <c r="D7" i="33" s="1"/>
  <c r="D43" i="33" s="1"/>
  <c r="D48" i="33" s="1"/>
  <c r="AB6" i="32" s="1"/>
  <c r="O19" i="33"/>
  <c r="AQ18" i="33"/>
  <c r="AU18" i="33" s="1"/>
  <c r="AK18" i="33"/>
  <c r="AJ18" i="33"/>
  <c r="W18" i="33"/>
  <c r="AA18" i="33" s="1"/>
  <c r="Q18" i="33"/>
  <c r="P18" i="33"/>
  <c r="O18" i="33"/>
  <c r="AQ17" i="33"/>
  <c r="AU17" i="33" s="1"/>
  <c r="AK17" i="33"/>
  <c r="AJ17" i="33"/>
  <c r="W17" i="33"/>
  <c r="AA17" i="33" s="1"/>
  <c r="AQ16" i="33"/>
  <c r="AU16" i="33" s="1"/>
  <c r="AK16" i="33"/>
  <c r="AJ16" i="33"/>
  <c r="W16" i="33"/>
  <c r="AA16" i="33" s="1"/>
  <c r="AA47" i="33" s="1"/>
  <c r="C8" i="33" s="1"/>
  <c r="AQ15" i="33"/>
  <c r="AU15" i="33" s="1"/>
  <c r="AK15" i="33"/>
  <c r="AJ15" i="33"/>
  <c r="AQ14" i="33"/>
  <c r="AU14" i="33" s="1"/>
  <c r="AK14" i="33"/>
  <c r="AJ14" i="33"/>
  <c r="AQ13" i="33"/>
  <c r="AU13" i="33" s="1"/>
  <c r="AK13" i="33"/>
  <c r="AJ13" i="33"/>
  <c r="AU12" i="33"/>
  <c r="AQ12" i="33"/>
  <c r="AK12" i="33"/>
  <c r="AJ12" i="33"/>
  <c r="AQ11" i="33"/>
  <c r="AU11" i="33" s="1"/>
  <c r="AK11" i="33"/>
  <c r="AJ11" i="33"/>
  <c r="AQ10" i="33"/>
  <c r="AU10" i="33" s="1"/>
  <c r="AK10" i="33"/>
  <c r="AJ10" i="33"/>
  <c r="AU9" i="33"/>
  <c r="AQ9" i="33"/>
  <c r="AK9" i="33"/>
  <c r="AJ9" i="33"/>
  <c r="AQ8" i="33"/>
  <c r="AU8" i="33" s="1"/>
  <c r="AK8" i="33"/>
  <c r="AJ8" i="33"/>
  <c r="AQ7" i="33"/>
  <c r="AK7" i="33"/>
  <c r="AJ7" i="33"/>
  <c r="AQ6" i="33"/>
  <c r="AU6" i="33" s="1"/>
  <c r="AK6" i="33"/>
  <c r="AJ6" i="33"/>
  <c r="BK46" i="32"/>
  <c r="BC46" i="32"/>
  <c r="AU46" i="32"/>
  <c r="AM46" i="32"/>
  <c r="AE46" i="32"/>
  <c r="W46" i="32"/>
  <c r="O46" i="32"/>
  <c r="G46" i="32"/>
  <c r="BK45" i="32"/>
  <c r="BC45" i="32"/>
  <c r="AU45" i="32"/>
  <c r="AM45" i="32"/>
  <c r="AE45" i="32"/>
  <c r="W45" i="32"/>
  <c r="O45" i="32"/>
  <c r="G45" i="32"/>
  <c r="BK44" i="32"/>
  <c r="BC44" i="32"/>
  <c r="AU44" i="32"/>
  <c r="AM44" i="32"/>
  <c r="AE44" i="32"/>
  <c r="W44" i="32"/>
  <c r="O44" i="32"/>
  <c r="G44" i="32"/>
  <c r="BK43" i="32"/>
  <c r="BC43" i="32"/>
  <c r="AU43" i="32"/>
  <c r="AM43" i="32"/>
  <c r="AE43" i="32"/>
  <c r="W43" i="32"/>
  <c r="O43" i="32"/>
  <c r="G43" i="32"/>
  <c r="BS42" i="32"/>
  <c r="BK42" i="32"/>
  <c r="BC42" i="32"/>
  <c r="AU42" i="32"/>
  <c r="AM42" i="32"/>
  <c r="AE42" i="32"/>
  <c r="W42" i="32"/>
  <c r="O42" i="32"/>
  <c r="G42" i="32"/>
  <c r="BS41" i="32"/>
  <c r="BK41" i="32"/>
  <c r="BC41" i="32"/>
  <c r="AU41" i="32"/>
  <c r="AM41" i="32"/>
  <c r="AE41" i="32"/>
  <c r="W41" i="32"/>
  <c r="O41" i="32"/>
  <c r="G41" i="32"/>
  <c r="BS40" i="32"/>
  <c r="BK40" i="32"/>
  <c r="BC40" i="32"/>
  <c r="AU40" i="32"/>
  <c r="AM40" i="32"/>
  <c r="AE40" i="32"/>
  <c r="W40" i="32"/>
  <c r="O40" i="32"/>
  <c r="G40" i="32"/>
  <c r="BS39" i="32"/>
  <c r="BK39" i="32"/>
  <c r="BC39" i="32"/>
  <c r="AU39" i="32"/>
  <c r="AM39" i="32"/>
  <c r="AE39" i="32"/>
  <c r="W39" i="32"/>
  <c r="O39" i="32"/>
  <c r="G39" i="32"/>
  <c r="BS38" i="32"/>
  <c r="BK38" i="32"/>
  <c r="BC38" i="32"/>
  <c r="AU38" i="32"/>
  <c r="AM38" i="32"/>
  <c r="AE38" i="32"/>
  <c r="W38" i="32"/>
  <c r="O38" i="32"/>
  <c r="G38" i="32"/>
  <c r="BS37" i="32"/>
  <c r="BK37" i="32"/>
  <c r="BC37" i="32"/>
  <c r="AU37" i="32"/>
  <c r="AM37" i="32"/>
  <c r="AE37" i="32"/>
  <c r="W37" i="32"/>
  <c r="O37" i="32"/>
  <c r="G37" i="32"/>
  <c r="BS36" i="32"/>
  <c r="BK36" i="32"/>
  <c r="BC36" i="32"/>
  <c r="AU36" i="32"/>
  <c r="AM36" i="32"/>
  <c r="AE36" i="32"/>
  <c r="W36" i="32"/>
  <c r="O36" i="32"/>
  <c r="G36" i="32"/>
  <c r="BK35" i="32"/>
  <c r="BC35" i="32"/>
  <c r="AU35" i="32"/>
  <c r="AM35" i="32"/>
  <c r="AE35" i="32"/>
  <c r="W35" i="32"/>
  <c r="O35" i="32"/>
  <c r="G35" i="32"/>
  <c r="BS34" i="32"/>
  <c r="BK34" i="32"/>
  <c r="BC34" i="32"/>
  <c r="AU34" i="32"/>
  <c r="AM34" i="32"/>
  <c r="AE34" i="32"/>
  <c r="W34" i="32"/>
  <c r="O34" i="32"/>
  <c r="G34" i="32"/>
  <c r="BK33" i="32"/>
  <c r="BC33" i="32"/>
  <c r="AU33" i="32"/>
  <c r="AM33" i="32"/>
  <c r="AE33" i="32"/>
  <c r="W33" i="32"/>
  <c r="O33" i="32"/>
  <c r="G33" i="32"/>
  <c r="BS32" i="32"/>
  <c r="BK32" i="32"/>
  <c r="BC32" i="32"/>
  <c r="AU32" i="32"/>
  <c r="AM32" i="32"/>
  <c r="AE32" i="32"/>
  <c r="W32" i="32"/>
  <c r="O32" i="32"/>
  <c r="G32" i="32"/>
  <c r="BS31" i="32"/>
  <c r="BK31" i="32"/>
  <c r="BC31" i="32"/>
  <c r="AU31" i="32"/>
  <c r="AM31" i="32"/>
  <c r="AE31" i="32"/>
  <c r="W31" i="32"/>
  <c r="O31" i="32"/>
  <c r="G31" i="32"/>
  <c r="BS30" i="32"/>
  <c r="BK30" i="32"/>
  <c r="BC30" i="32"/>
  <c r="AU30" i="32"/>
  <c r="AM30" i="32"/>
  <c r="AE30" i="32"/>
  <c r="W30" i="32"/>
  <c r="O30" i="32"/>
  <c r="G30" i="32"/>
  <c r="BS29" i="32"/>
  <c r="BK29" i="32"/>
  <c r="BC29" i="32"/>
  <c r="AU29" i="32"/>
  <c r="AM29" i="32"/>
  <c r="AE29" i="32"/>
  <c r="W29" i="32"/>
  <c r="O29" i="32"/>
  <c r="G29" i="32"/>
  <c r="BK28" i="32"/>
  <c r="BC28" i="32"/>
  <c r="AU28" i="32"/>
  <c r="AM28" i="32"/>
  <c r="AE28" i="32"/>
  <c r="W28" i="32"/>
  <c r="O28" i="32"/>
  <c r="G28" i="32"/>
  <c r="BK27" i="32"/>
  <c r="BC27" i="32"/>
  <c r="AU27" i="32"/>
  <c r="AM27" i="32"/>
  <c r="AE27" i="32"/>
  <c r="W27" i="32"/>
  <c r="O27" i="32"/>
  <c r="G27" i="32"/>
  <c r="BS26" i="32"/>
  <c r="BK26" i="32"/>
  <c r="BC26" i="32"/>
  <c r="AU26" i="32"/>
  <c r="AM26" i="32"/>
  <c r="AE26" i="32"/>
  <c r="W26" i="32"/>
  <c r="O26" i="32"/>
  <c r="G26" i="32"/>
  <c r="BK25" i="32"/>
  <c r="BC25" i="32"/>
  <c r="AU25" i="32"/>
  <c r="AM25" i="32"/>
  <c r="AE25" i="32"/>
  <c r="W25" i="32"/>
  <c r="O25" i="32"/>
  <c r="G25" i="32"/>
  <c r="BS24" i="32"/>
  <c r="BK24" i="32"/>
  <c r="BC24" i="32"/>
  <c r="AU24" i="32"/>
  <c r="AM24" i="32"/>
  <c r="AE24" i="32"/>
  <c r="W24" i="32"/>
  <c r="O24" i="32"/>
  <c r="G24" i="32"/>
  <c r="BK23" i="32"/>
  <c r="BC23" i="32"/>
  <c r="AU23" i="32"/>
  <c r="AM23" i="32"/>
  <c r="AE23" i="32"/>
  <c r="W23" i="32"/>
  <c r="O23" i="32"/>
  <c r="G23" i="32"/>
  <c r="BS22" i="32"/>
  <c r="BK22" i="32"/>
  <c r="BC22" i="32"/>
  <c r="AU22" i="32"/>
  <c r="AM22" i="32"/>
  <c r="AE22" i="32"/>
  <c r="W22" i="32"/>
  <c r="O22" i="32"/>
  <c r="G22" i="32"/>
  <c r="BK21" i="32"/>
  <c r="BC21" i="32"/>
  <c r="AU21" i="32"/>
  <c r="AM21" i="32"/>
  <c r="AE21" i="32"/>
  <c r="W21" i="32"/>
  <c r="O21" i="32"/>
  <c r="G21" i="32"/>
  <c r="BS20" i="32"/>
  <c r="BK20" i="32"/>
  <c r="BC20" i="32"/>
  <c r="AM20" i="32"/>
  <c r="AE20" i="32"/>
  <c r="W20" i="32"/>
  <c r="O20" i="32"/>
  <c r="BS21" i="32"/>
  <c r="BK19" i="32"/>
  <c r="BC19" i="32"/>
  <c r="AM19" i="32"/>
  <c r="AE19" i="32"/>
  <c r="W19" i="32"/>
  <c r="O19" i="32"/>
  <c r="BS18" i="32"/>
  <c r="BK18" i="32"/>
  <c r="BC18" i="32"/>
  <c r="AM18" i="32"/>
  <c r="AE18" i="32"/>
  <c r="W18" i="32"/>
  <c r="O18" i="32"/>
  <c r="BS17" i="32"/>
  <c r="BK17" i="32"/>
  <c r="BC17" i="32"/>
  <c r="AM17" i="32"/>
  <c r="AE17" i="32"/>
  <c r="W17" i="32"/>
  <c r="O17" i="32"/>
  <c r="BS16" i="32"/>
  <c r="BK16" i="32"/>
  <c r="BC16" i="32"/>
  <c r="AM16" i="32"/>
  <c r="AE16" i="32"/>
  <c r="W16" i="32"/>
  <c r="O16" i="32"/>
  <c r="BS15" i="32"/>
  <c r="BK15" i="32"/>
  <c r="BC15" i="32"/>
  <c r="AM15" i="32"/>
  <c r="AE15" i="32"/>
  <c r="W15" i="32"/>
  <c r="O15" i="32"/>
  <c r="BS14" i="32"/>
  <c r="BK14" i="32"/>
  <c r="BC14" i="32"/>
  <c r="AM14" i="32"/>
  <c r="AE14" i="32"/>
  <c r="W14" i="32"/>
  <c r="BS13" i="32"/>
  <c r="BK13" i="32"/>
  <c r="BC13" i="32"/>
  <c r="AM13" i="32"/>
  <c r="AE13" i="32"/>
  <c r="W13" i="32"/>
  <c r="BS12" i="32"/>
  <c r="BK12" i="32"/>
  <c r="BC12" i="32"/>
  <c r="AM12" i="32"/>
  <c r="AE12" i="32"/>
  <c r="BS11" i="32"/>
  <c r="BK11" i="32"/>
  <c r="BC11" i="32"/>
  <c r="AM11" i="32"/>
  <c r="AE11" i="32"/>
  <c r="BK10" i="32"/>
  <c r="BC10" i="32"/>
  <c r="AM10" i="32"/>
  <c r="AE10" i="32"/>
  <c r="BK9" i="32"/>
  <c r="BC9" i="32"/>
  <c r="AM9" i="32"/>
  <c r="BS8" i="32"/>
  <c r="BK8" i="32"/>
  <c r="BC8" i="32"/>
  <c r="AM8" i="32"/>
  <c r="AE8" i="32"/>
  <c r="BS7" i="32"/>
  <c r="BK7" i="32"/>
  <c r="BC7" i="32"/>
  <c r="AM7" i="32"/>
  <c r="BS6" i="32"/>
  <c r="BK6" i="32"/>
  <c r="BC6" i="32"/>
  <c r="AM6" i="32"/>
  <c r="AE6" i="32"/>
  <c r="BS5" i="32"/>
  <c r="BK5" i="32"/>
  <c r="BC5" i="32"/>
  <c r="F181" i="31"/>
  <c r="F180" i="31"/>
  <c r="I59" i="31"/>
  <c r="I61" i="31" s="1"/>
  <c r="F59" i="31"/>
  <c r="I51" i="31"/>
  <c r="I50" i="31"/>
  <c r="I49" i="31"/>
  <c r="B35" i="29"/>
  <c r="B20" i="29"/>
  <c r="B11" i="29"/>
  <c r="B9" i="29"/>
  <c r="B7" i="29"/>
  <c r="DF11" i="39" l="1"/>
  <c r="CM20" i="39"/>
  <c r="DS23" i="39"/>
  <c r="DW26" i="39"/>
  <c r="BM27" i="39"/>
  <c r="CQ27" i="39"/>
  <c r="DQ28" i="39"/>
  <c r="BZ29" i="39"/>
  <c r="DF29" i="39"/>
  <c r="BI31" i="39"/>
  <c r="DS34" i="39"/>
  <c r="DW35" i="39"/>
  <c r="AT43" i="39"/>
  <c r="V46" i="38"/>
  <c r="BX10" i="39"/>
  <c r="DH11" i="39"/>
  <c r="CD13" i="39"/>
  <c r="CS14" i="39"/>
  <c r="CM16" i="39"/>
  <c r="V18" i="39"/>
  <c r="DW18" i="39"/>
  <c r="BO19" i="39"/>
  <c r="CO20" i="39"/>
  <c r="CM21" i="39"/>
  <c r="DW23" i="39"/>
  <c r="DS24" i="39"/>
  <c r="CM26" i="39"/>
  <c r="BO27" i="39"/>
  <c r="CS27" i="39"/>
  <c r="CB29" i="39"/>
  <c r="DH29" i="39"/>
  <c r="AZ30" i="39"/>
  <c r="P31" i="39"/>
  <c r="BM31" i="39"/>
  <c r="CQ31" i="39"/>
  <c r="DS39" i="39"/>
  <c r="BO42" i="39"/>
  <c r="AV43" i="39"/>
  <c r="G48" i="32"/>
  <c r="H13" i="31" s="1"/>
  <c r="F13" i="31" s="1"/>
  <c r="I13" i="31" s="1"/>
  <c r="AE48" i="38"/>
  <c r="H23" i="37" s="1"/>
  <c r="F23" i="37" s="1"/>
  <c r="I23" i="37" s="1"/>
  <c r="CD29" i="39"/>
  <c r="R31" i="39"/>
  <c r="BO31" i="39"/>
  <c r="DW34" i="39"/>
  <c r="DW39" i="39"/>
  <c r="AZ43" i="39"/>
  <c r="AE47" i="38"/>
  <c r="H22" i="37" s="1"/>
  <c r="F22" i="37" s="1"/>
  <c r="I22" i="37" s="1"/>
  <c r="G47" i="38"/>
  <c r="H12" i="37" s="1"/>
  <c r="F12" i="37" s="1"/>
  <c r="I12" i="37" s="1"/>
  <c r="I14" i="37" s="1"/>
  <c r="BK26" i="39"/>
  <c r="BX27" i="39"/>
  <c r="DD27" i="39"/>
  <c r="DU29" i="39"/>
  <c r="T31" i="39"/>
  <c r="CS31" i="39"/>
  <c r="AZ17" i="39"/>
  <c r="R19" i="39"/>
  <c r="BZ19" i="39"/>
  <c r="DQ19" i="39"/>
  <c r="CS22" i="39"/>
  <c r="BM26" i="39"/>
  <c r="BZ27" i="39"/>
  <c r="DF27" i="39"/>
  <c r="AZ28" i="39"/>
  <c r="BI29" i="39"/>
  <c r="CM29" i="39"/>
  <c r="DW29" i="39"/>
  <c r="BO30" i="39"/>
  <c r="BX31" i="39"/>
  <c r="DH31" i="39"/>
  <c r="AM47" i="38"/>
  <c r="H24" i="37" s="1"/>
  <c r="F24" i="37" s="1"/>
  <c r="I24" i="37" s="1"/>
  <c r="DH13" i="39"/>
  <c r="CS18" i="39"/>
  <c r="DW19" i="39"/>
  <c r="BK22" i="39"/>
  <c r="CS24" i="39"/>
  <c r="CQ29" i="39"/>
  <c r="DH30" i="39"/>
  <c r="BZ31" i="39"/>
  <c r="DD31" i="39"/>
  <c r="CO40" i="39"/>
  <c r="AZ42" i="39"/>
  <c r="P42" i="33"/>
  <c r="K50" i="33" s="1"/>
  <c r="DW12" i="39"/>
  <c r="DH15" i="39"/>
  <c r="CD27" i="39"/>
  <c r="AZ29" i="39"/>
  <c r="CS29" i="39"/>
  <c r="DF31" i="39"/>
  <c r="BO33" i="39"/>
  <c r="BI36" i="39"/>
  <c r="BO38" i="39"/>
  <c r="BI39" i="39"/>
  <c r="DU41" i="39"/>
  <c r="DH19" i="39"/>
  <c r="DF19" i="39"/>
  <c r="DD19" i="39"/>
  <c r="DU22" i="39"/>
  <c r="DW22" i="39"/>
  <c r="AT31" i="39"/>
  <c r="AX32" i="39"/>
  <c r="AV32" i="39"/>
  <c r="DS36" i="39"/>
  <c r="DQ36" i="39"/>
  <c r="DQ42" i="39"/>
  <c r="DW42" i="39"/>
  <c r="CB43" i="39"/>
  <c r="CD43" i="39"/>
  <c r="BZ43" i="39"/>
  <c r="BS48" i="32"/>
  <c r="AK43" i="33"/>
  <c r="AE53" i="33" s="1"/>
  <c r="AK53" i="33" s="1"/>
  <c r="AK55" i="33" s="1"/>
  <c r="AK48" i="33" s="1"/>
  <c r="E11" i="33" s="1"/>
  <c r="AJ42" i="33"/>
  <c r="AE50" i="33" s="1"/>
  <c r="AI50" i="33" s="1"/>
  <c r="AI54" i="33" s="1"/>
  <c r="AI47" i="33" s="1"/>
  <c r="BK48" i="38"/>
  <c r="H35" i="37" s="1"/>
  <c r="F35" i="37" s="1"/>
  <c r="I35" i="37" s="1"/>
  <c r="DB12" i="39"/>
  <c r="CS13" i="39"/>
  <c r="AZ15" i="39"/>
  <c r="AX15" i="39"/>
  <c r="BI16" i="39"/>
  <c r="DQ22" i="39"/>
  <c r="AX27" i="39"/>
  <c r="AZ27" i="39"/>
  <c r="R28" i="39"/>
  <c r="P28" i="39"/>
  <c r="T29" i="39"/>
  <c r="V29" i="39"/>
  <c r="DU32" i="39"/>
  <c r="DQ32" i="39"/>
  <c r="BM34" i="39"/>
  <c r="BK34" i="39"/>
  <c r="DU36" i="39"/>
  <c r="DU38" i="39"/>
  <c r="DW38" i="39"/>
  <c r="BX43" i="39"/>
  <c r="W48" i="32"/>
  <c r="H21" i="31" s="1"/>
  <c r="F21" i="31" s="1"/>
  <c r="I21" i="31" s="1"/>
  <c r="M20" i="31" s="1"/>
  <c r="AU47" i="32"/>
  <c r="AQ48" i="33"/>
  <c r="AU7" i="33"/>
  <c r="AU48" i="33" s="1"/>
  <c r="C13" i="33" s="1"/>
  <c r="G48" i="38"/>
  <c r="H13" i="37" s="1"/>
  <c r="F13" i="37" s="1"/>
  <c r="I13" i="37" s="1"/>
  <c r="I15" i="37" s="1"/>
  <c r="CO7" i="39"/>
  <c r="CQ7" i="39"/>
  <c r="DD12" i="39"/>
  <c r="AT15" i="39"/>
  <c r="BM16" i="39"/>
  <c r="BI19" i="39"/>
  <c r="T21" i="39"/>
  <c r="R21" i="39"/>
  <c r="DS22" i="39"/>
  <c r="BM24" i="39"/>
  <c r="BK24" i="39"/>
  <c r="AT27" i="39"/>
  <c r="T28" i="39"/>
  <c r="CO28" i="39"/>
  <c r="CQ28" i="39"/>
  <c r="P29" i="39"/>
  <c r="BM32" i="39"/>
  <c r="BK32" i="39"/>
  <c r="BI34" i="39"/>
  <c r="CQ35" i="39"/>
  <c r="CS35" i="39"/>
  <c r="CO35" i="39"/>
  <c r="CM35" i="39"/>
  <c r="DQ38" i="39"/>
  <c r="BO41" i="39"/>
  <c r="BM41" i="39"/>
  <c r="E43" i="33"/>
  <c r="E48" i="33" s="1"/>
  <c r="AB10" i="32" s="1"/>
  <c r="CB28" i="39"/>
  <c r="BZ28" i="39"/>
  <c r="BX28" i="39"/>
  <c r="AZ31" i="39"/>
  <c r="AX31" i="39"/>
  <c r="AJ43" i="33"/>
  <c r="AE51" i="33" s="1"/>
  <c r="DH12" i="39"/>
  <c r="BM18" i="39"/>
  <c r="BK18" i="39"/>
  <c r="CQ25" i="39"/>
  <c r="CO25" i="39"/>
  <c r="CM25" i="39"/>
  <c r="DW36" i="39"/>
  <c r="T43" i="39"/>
  <c r="R43" i="39"/>
  <c r="V43" i="39"/>
  <c r="BX11" i="39"/>
  <c r="BI18" i="39"/>
  <c r="DU21" i="39"/>
  <c r="DS21" i="39"/>
  <c r="DW21" i="39"/>
  <c r="V28" i="39"/>
  <c r="BO34" i="39"/>
  <c r="BZ11" i="39"/>
  <c r="CD12" i="39"/>
  <c r="BZ12" i="39"/>
  <c r="CB12" i="39"/>
  <c r="CQ14" i="39"/>
  <c r="DD15" i="39"/>
  <c r="DQ21" i="39"/>
  <c r="BO24" i="39"/>
  <c r="CS25" i="39"/>
  <c r="CS28" i="39"/>
  <c r="CQ39" i="39"/>
  <c r="CS39" i="39"/>
  <c r="CM39" i="39"/>
  <c r="CO39" i="39"/>
  <c r="DF43" i="39"/>
  <c r="DD43" i="39"/>
  <c r="N62" i="41"/>
  <c r="DW13" i="39"/>
  <c r="DF15" i="39"/>
  <c r="BO18" i="39"/>
  <c r="V20" i="39"/>
  <c r="T20" i="39"/>
  <c r="R20" i="39"/>
  <c r="DH28" i="39"/>
  <c r="DD28" i="39"/>
  <c r="DF28" i="39"/>
  <c r="DU35" i="39"/>
  <c r="DS35" i="39"/>
  <c r="DQ35" i="39"/>
  <c r="DU40" i="39"/>
  <c r="DW40" i="39"/>
  <c r="DS40" i="39"/>
  <c r="DB43" i="39"/>
  <c r="W62" i="41"/>
  <c r="AZ19" i="39"/>
  <c r="AX19" i="39"/>
  <c r="AV19" i="39"/>
  <c r="CO14" i="39"/>
  <c r="CB30" i="39"/>
  <c r="BZ30" i="39"/>
  <c r="P43" i="39"/>
  <c r="BZ13" i="39"/>
  <c r="BO17" i="39"/>
  <c r="BM17" i="39"/>
  <c r="CQ19" i="39"/>
  <c r="CM19" i="39"/>
  <c r="BM23" i="39"/>
  <c r="BK23" i="39"/>
  <c r="BI23" i="39"/>
  <c r="BK28" i="39"/>
  <c r="BM28" i="39"/>
  <c r="BI28" i="39"/>
  <c r="CO30" i="39"/>
  <c r="CS30" i="39"/>
  <c r="CQ30" i="39"/>
  <c r="CM30" i="39"/>
  <c r="CO32" i="39"/>
  <c r="BM35" i="39"/>
  <c r="BO35" i="39"/>
  <c r="CQ41" i="39"/>
  <c r="CO41" i="39"/>
  <c r="DH43" i="39"/>
  <c r="CD11" i="39"/>
  <c r="CS16" i="39"/>
  <c r="CM42" i="39"/>
  <c r="CS42" i="39"/>
  <c r="N46" i="38"/>
  <c r="L46" i="38" s="1"/>
  <c r="CS9" i="39"/>
  <c r="CS10" i="39"/>
  <c r="CB13" i="39"/>
  <c r="BK17" i="39"/>
  <c r="BM25" i="39"/>
  <c r="BO25" i="39"/>
  <c r="DS28" i="39"/>
  <c r="DW28" i="39"/>
  <c r="AV30" i="39"/>
  <c r="AT30" i="39"/>
  <c r="BI35" i="39"/>
  <c r="BI37" i="39"/>
  <c r="CO38" i="39"/>
  <c r="CM41" i="39"/>
  <c r="CA48" i="38"/>
  <c r="H41" i="37" s="1"/>
  <c r="F41" i="37" s="1"/>
  <c r="I41" i="37" s="1"/>
  <c r="DS30" i="39"/>
  <c r="DW30" i="39"/>
  <c r="DU30" i="39"/>
  <c r="W48" i="33"/>
  <c r="BO16" i="39"/>
  <c r="CD30" i="39"/>
  <c r="BM33" i="39"/>
  <c r="BK33" i="39"/>
  <c r="BI33" i="39"/>
  <c r="CS36" i="39"/>
  <c r="CQ36" i="39"/>
  <c r="CO36" i="39"/>
  <c r="BM40" i="39"/>
  <c r="BK40" i="39"/>
  <c r="BI40" i="39"/>
  <c r="DB6" i="39"/>
  <c r="DH9" i="39"/>
  <c r="DD9" i="39"/>
  <c r="DH10" i="39"/>
  <c r="DB10" i="39"/>
  <c r="DD10" i="39"/>
  <c r="DU14" i="39"/>
  <c r="DS14" i="39"/>
  <c r="DQ14" i="39"/>
  <c r="CS19" i="39"/>
  <c r="BO23" i="39"/>
  <c r="BI25" i="39"/>
  <c r="BO28" i="39"/>
  <c r="BK29" i="39"/>
  <c r="BO29" i="39"/>
  <c r="BK35" i="39"/>
  <c r="BK37" i="39"/>
  <c r="DH17" i="39"/>
  <c r="CD42" i="39"/>
  <c r="BC48" i="38"/>
  <c r="H33" i="37" s="1"/>
  <c r="F33" i="37" s="1"/>
  <c r="I33" i="37" s="1"/>
  <c r="CS8" i="39"/>
  <c r="CS15" i="39"/>
  <c r="DW17" i="39"/>
  <c r="BI22" i="39"/>
  <c r="DQ24" i="39"/>
  <c r="BI26" i="39"/>
  <c r="DB27" i="39"/>
  <c r="DQ29" i="39"/>
  <c r="DB31" i="39"/>
  <c r="DQ34" i="39"/>
  <c r="CB38" i="39"/>
  <c r="DQ39" i="39"/>
  <c r="V42" i="39"/>
  <c r="BZ42" i="39"/>
  <c r="CA47" i="38"/>
  <c r="H40" i="37" s="1"/>
  <c r="F40" i="37" s="1"/>
  <c r="I40" i="37" s="1"/>
  <c r="DW9" i="39"/>
  <c r="DS12" i="39"/>
  <c r="DD13" i="39"/>
  <c r="CS17" i="39"/>
  <c r="DD20" i="39"/>
  <c r="CM24" i="39"/>
  <c r="DQ26" i="39"/>
  <c r="AT28" i="39"/>
  <c r="P30" i="39"/>
  <c r="BI30" i="39"/>
  <c r="CM34" i="39"/>
  <c r="CM37" i="39"/>
  <c r="AV42" i="39"/>
  <c r="AM48" i="32"/>
  <c r="H29" i="31" s="1"/>
  <c r="F29" i="31" s="1"/>
  <c r="I29" i="31" s="1"/>
  <c r="AU47" i="33"/>
  <c r="C12" i="33" s="1"/>
  <c r="C42" i="33" s="1"/>
  <c r="C47" i="33" s="1"/>
  <c r="AB7" i="32" s="1"/>
  <c r="AE7" i="32" s="1"/>
  <c r="DW8" i="39"/>
  <c r="DB11" i="39"/>
  <c r="DU12" i="39"/>
  <c r="DF13" i="39"/>
  <c r="CD15" i="39"/>
  <c r="CO17" i="39"/>
  <c r="V19" i="39"/>
  <c r="CD19" i="39"/>
  <c r="BK20" i="39"/>
  <c r="CM23" i="39"/>
  <c r="CO24" i="39"/>
  <c r="DS26" i="39"/>
  <c r="DQ27" i="39"/>
  <c r="AV28" i="39"/>
  <c r="DB29" i="39"/>
  <c r="R30" i="39"/>
  <c r="BM30" i="39"/>
  <c r="DQ31" i="39"/>
  <c r="CM33" i="39"/>
  <c r="CO34" i="39"/>
  <c r="CO37" i="39"/>
  <c r="DQ41" i="39"/>
  <c r="AX42" i="39"/>
  <c r="DH42" i="39"/>
  <c r="CD17" i="39"/>
  <c r="BC48" i="32"/>
  <c r="H39" i="31" s="1"/>
  <c r="F39" i="31" s="1"/>
  <c r="I39" i="31" s="1"/>
  <c r="DW15" i="39"/>
  <c r="CQ17" i="39"/>
  <c r="CO23" i="39"/>
  <c r="CM27" i="39"/>
  <c r="DU27" i="39"/>
  <c r="CM31" i="39"/>
  <c r="CO33" i="39"/>
  <c r="CM40" i="39"/>
  <c r="DD42" i="39"/>
  <c r="W49" i="41"/>
  <c r="BS48" i="38"/>
  <c r="H39" i="37" s="1"/>
  <c r="F39" i="37" s="1"/>
  <c r="I39" i="37" s="1"/>
  <c r="H48" i="31"/>
  <c r="BS19" i="32"/>
  <c r="BK47" i="32"/>
  <c r="AU48" i="38"/>
  <c r="H31" i="37" s="1"/>
  <c r="F31" i="37" s="1"/>
  <c r="I31" i="37" s="1"/>
  <c r="I37" i="37" s="1"/>
  <c r="F15" i="37"/>
  <c r="D152" i="37"/>
  <c r="W46" i="38"/>
  <c r="W48" i="38" s="1"/>
  <c r="H21" i="37" s="1"/>
  <c r="F21" i="37" s="1"/>
  <c r="I21" i="37" s="1"/>
  <c r="T46" i="38"/>
  <c r="D151" i="37"/>
  <c r="F14" i="37"/>
  <c r="O46" i="38"/>
  <c r="O48" i="38" s="1"/>
  <c r="H19" i="37" s="1"/>
  <c r="F19" i="37" s="1"/>
  <c r="I19" i="37" s="1"/>
  <c r="CQ6" i="39"/>
  <c r="CO8" i="39"/>
  <c r="DH8" i="39"/>
  <c r="DB8" i="39"/>
  <c r="DH16" i="39"/>
  <c r="DB16" i="39"/>
  <c r="DH18" i="39"/>
  <c r="DB18" i="39"/>
  <c r="CQ8" i="39"/>
  <c r="DU8" i="39"/>
  <c r="DS8" i="39"/>
  <c r="CB14" i="39"/>
  <c r="BZ14" i="39"/>
  <c r="DD14" i="39"/>
  <c r="DH14" i="39"/>
  <c r="DB14" i="39"/>
  <c r="F9" i="39"/>
  <c r="DU16" i="39"/>
  <c r="DS16" i="39"/>
  <c r="T18" i="39"/>
  <c r="R18" i="39"/>
  <c r="DU18" i="39"/>
  <c r="DS18" i="39"/>
  <c r="BM21" i="39"/>
  <c r="BK21" i="39"/>
  <c r="BI21" i="39"/>
  <c r="CM6" i="39"/>
  <c r="CS6" i="39"/>
  <c r="DD8" i="39"/>
  <c r="DQ8" i="39"/>
  <c r="CO11" i="39"/>
  <c r="CS11" i="39"/>
  <c r="CM11" i="39"/>
  <c r="CO12" i="39"/>
  <c r="CS12" i="39"/>
  <c r="CM12" i="39"/>
  <c r="AV14" i="39"/>
  <c r="AZ14" i="39"/>
  <c r="AT14" i="39"/>
  <c r="BX14" i="39"/>
  <c r="AV16" i="39"/>
  <c r="AZ16" i="39"/>
  <c r="AT16" i="39"/>
  <c r="DD16" i="39"/>
  <c r="DQ16" i="39"/>
  <c r="P18" i="39"/>
  <c r="AV18" i="39"/>
  <c r="AZ18" i="39"/>
  <c r="AT18" i="39"/>
  <c r="DD18" i="39"/>
  <c r="DQ18" i="39"/>
  <c r="AV26" i="39"/>
  <c r="AZ26" i="39"/>
  <c r="AT26" i="39"/>
  <c r="AX26" i="39"/>
  <c r="BS15" i="38"/>
  <c r="BS23" i="38"/>
  <c r="CS7" i="39"/>
  <c r="E8" i="39"/>
  <c r="CM8" i="39"/>
  <c r="DF8" i="39"/>
  <c r="E9" i="39"/>
  <c r="CQ9" i="39"/>
  <c r="CO9" i="39"/>
  <c r="DU9" i="39"/>
  <c r="DS9" i="39"/>
  <c r="CO10" i="39"/>
  <c r="CM10" i="39"/>
  <c r="DU10" i="39"/>
  <c r="DS10" i="39"/>
  <c r="CQ11" i="39"/>
  <c r="DS11" i="39"/>
  <c r="DW11" i="39"/>
  <c r="DQ11" i="39"/>
  <c r="CQ13" i="39"/>
  <c r="CO13" i="39"/>
  <c r="DU13" i="39"/>
  <c r="DS13" i="39"/>
  <c r="AX14" i="39"/>
  <c r="DF14" i="39"/>
  <c r="CQ15" i="39"/>
  <c r="CO15" i="39"/>
  <c r="DU15" i="39"/>
  <c r="DS15" i="39"/>
  <c r="AX16" i="39"/>
  <c r="BZ16" i="39"/>
  <c r="CD16" i="39"/>
  <c r="BX16" i="39"/>
  <c r="DF16" i="39"/>
  <c r="AX17" i="39"/>
  <c r="AV17" i="39"/>
  <c r="CB17" i="39"/>
  <c r="BZ17" i="39"/>
  <c r="DF17" i="39"/>
  <c r="DD17" i="39"/>
  <c r="AX18" i="39"/>
  <c r="BZ18" i="39"/>
  <c r="CD18" i="39"/>
  <c r="BX18" i="39"/>
  <c r="DF18" i="39"/>
  <c r="BM19" i="39"/>
  <c r="BK19" i="39"/>
  <c r="AZ21" i="39"/>
  <c r="AT21" i="39"/>
  <c r="AX21" i="39"/>
  <c r="AV21" i="39"/>
  <c r="BO21" i="39"/>
  <c r="DF10" i="39"/>
  <c r="CO19" i="39"/>
  <c r="DS19" i="39"/>
  <c r="AZ20" i="39"/>
  <c r="AT20" i="39"/>
  <c r="BO20" i="39"/>
  <c r="DS20" i="39"/>
  <c r="BZ21" i="39"/>
  <c r="CD21" i="39"/>
  <c r="BX21" i="39"/>
  <c r="DD21" i="39"/>
  <c r="DH21" i="39"/>
  <c r="DB21" i="39"/>
  <c r="R22" i="39"/>
  <c r="V22" i="39"/>
  <c r="P22" i="39"/>
  <c r="AV22" i="39"/>
  <c r="AZ22" i="39"/>
  <c r="AT22" i="39"/>
  <c r="BZ22" i="39"/>
  <c r="CD22" i="39"/>
  <c r="BX22" i="39"/>
  <c r="DD22" i="39"/>
  <c r="DH22" i="39"/>
  <c r="DB22" i="39"/>
  <c r="R23" i="39"/>
  <c r="V23" i="39"/>
  <c r="P23" i="39"/>
  <c r="AV23" i="39"/>
  <c r="AZ23" i="39"/>
  <c r="AT23" i="39"/>
  <c r="BZ23" i="39"/>
  <c r="CD23" i="39"/>
  <c r="BX23" i="39"/>
  <c r="DD23" i="39"/>
  <c r="DH23" i="39"/>
  <c r="DB23" i="39"/>
  <c r="R24" i="39"/>
  <c r="V24" i="39"/>
  <c r="P24" i="39"/>
  <c r="AV24" i="39"/>
  <c r="AZ24" i="39"/>
  <c r="AT24" i="39"/>
  <c r="BZ24" i="39"/>
  <c r="CD24" i="39"/>
  <c r="BX24" i="39"/>
  <c r="DD24" i="39"/>
  <c r="DH24" i="39"/>
  <c r="DB24" i="39"/>
  <c r="R25" i="39"/>
  <c r="V25" i="39"/>
  <c r="P25" i="39"/>
  <c r="AV25" i="39"/>
  <c r="AZ25" i="39"/>
  <c r="AT25" i="39"/>
  <c r="BZ25" i="39"/>
  <c r="CD25" i="39"/>
  <c r="BX25" i="39"/>
  <c r="BZ26" i="39"/>
  <c r="CD26" i="39"/>
  <c r="BX26" i="39"/>
  <c r="DB9" i="39"/>
  <c r="BX12" i="39"/>
  <c r="DQ12" i="39"/>
  <c r="C9" i="39"/>
  <c r="BX13" i="39"/>
  <c r="BX48" i="39" s="1"/>
  <c r="C15" i="39" s="1"/>
  <c r="DB13" i="39"/>
  <c r="CM14" i="39"/>
  <c r="BX15" i="39"/>
  <c r="DB15" i="39"/>
  <c r="BI17" i="39"/>
  <c r="CM17" i="39"/>
  <c r="DQ17" i="39"/>
  <c r="P19" i="39"/>
  <c r="AT19" i="39"/>
  <c r="BX19" i="39"/>
  <c r="DB19" i="39"/>
  <c r="P20" i="39"/>
  <c r="AV20" i="39"/>
  <c r="BI20" i="39"/>
  <c r="CD20" i="39"/>
  <c r="BX20" i="39"/>
  <c r="CS20" i="39"/>
  <c r="CB21" i="39"/>
  <c r="DF21" i="39"/>
  <c r="T22" i="39"/>
  <c r="AX22" i="39"/>
  <c r="CB22" i="39"/>
  <c r="DF22" i="39"/>
  <c r="T23" i="39"/>
  <c r="T48" i="39" s="1"/>
  <c r="E7" i="39" s="1"/>
  <c r="AX23" i="39"/>
  <c r="CB23" i="39"/>
  <c r="DF23" i="39"/>
  <c r="T24" i="39"/>
  <c r="AX24" i="39"/>
  <c r="CB24" i="39"/>
  <c r="DF24" i="39"/>
  <c r="T25" i="39"/>
  <c r="AX25" i="39"/>
  <c r="CB25" i="39"/>
  <c r="DD25" i="39"/>
  <c r="DH25" i="39"/>
  <c r="DB25" i="39"/>
  <c r="CB26" i="39"/>
  <c r="DD26" i="39"/>
  <c r="DH26" i="39"/>
  <c r="DB26" i="39"/>
  <c r="DH20" i="39"/>
  <c r="DB20" i="39"/>
  <c r="DW20" i="39"/>
  <c r="V21" i="39"/>
  <c r="P21" i="39"/>
  <c r="R26" i="39"/>
  <c r="V26" i="39"/>
  <c r="P26" i="39"/>
  <c r="R27" i="39"/>
  <c r="V27" i="39"/>
  <c r="P27" i="39"/>
  <c r="CD32" i="39"/>
  <c r="BX32" i="39"/>
  <c r="CS32" i="39"/>
  <c r="CD35" i="39"/>
  <c r="BX35" i="39"/>
  <c r="CB35" i="39"/>
  <c r="BZ35" i="39"/>
  <c r="CD36" i="39"/>
  <c r="BX36" i="39"/>
  <c r="CB36" i="39"/>
  <c r="BZ36" i="39"/>
  <c r="DH36" i="39"/>
  <c r="DB36" i="39"/>
  <c r="DF36" i="39"/>
  <c r="DD36" i="39"/>
  <c r="V37" i="39"/>
  <c r="P37" i="39"/>
  <c r="T37" i="39"/>
  <c r="R37" i="39"/>
  <c r="AZ37" i="39"/>
  <c r="AT37" i="39"/>
  <c r="AX37" i="39"/>
  <c r="AV37" i="39"/>
  <c r="CD37" i="39"/>
  <c r="BX37" i="39"/>
  <c r="CB37" i="39"/>
  <c r="BZ37" i="39"/>
  <c r="DH37" i="39"/>
  <c r="DB37" i="39"/>
  <c r="DF37" i="39"/>
  <c r="DD37" i="39"/>
  <c r="AZ38" i="39"/>
  <c r="AT38" i="39"/>
  <c r="AV38" i="39"/>
  <c r="AX38" i="39"/>
  <c r="DW31" i="39"/>
  <c r="BZ32" i="39"/>
  <c r="CM32" i="39"/>
  <c r="DH32" i="39"/>
  <c r="DB32" i="39"/>
  <c r="DW32" i="39"/>
  <c r="AZ35" i="39"/>
  <c r="AT35" i="39"/>
  <c r="AX35" i="39"/>
  <c r="AV35" i="39"/>
  <c r="AZ36" i="39"/>
  <c r="AT36" i="39"/>
  <c r="AX36" i="39"/>
  <c r="AV36" i="39"/>
  <c r="V32" i="39"/>
  <c r="P32" i="39"/>
  <c r="V33" i="39"/>
  <c r="P33" i="39"/>
  <c r="R33" i="39"/>
  <c r="AZ33" i="39"/>
  <c r="AT33" i="39"/>
  <c r="AT48" i="39" s="1"/>
  <c r="C11" i="39" s="1"/>
  <c r="AV33" i="39"/>
  <c r="CD33" i="39"/>
  <c r="BX33" i="39"/>
  <c r="BZ33" i="39"/>
  <c r="DH33" i="39"/>
  <c r="DB33" i="39"/>
  <c r="DD33" i="39"/>
  <c r="V34" i="39"/>
  <c r="P34" i="39"/>
  <c r="R34" i="39"/>
  <c r="AZ34" i="39"/>
  <c r="AT34" i="39"/>
  <c r="AV34" i="39"/>
  <c r="CD34" i="39"/>
  <c r="BX34" i="39"/>
  <c r="BZ34" i="39"/>
  <c r="DH34" i="39"/>
  <c r="DB34" i="39"/>
  <c r="DD34" i="39"/>
  <c r="V35" i="39"/>
  <c r="P35" i="39"/>
  <c r="T35" i="39"/>
  <c r="R35" i="39"/>
  <c r="V36" i="39"/>
  <c r="P36" i="39"/>
  <c r="T36" i="39"/>
  <c r="R36" i="39"/>
  <c r="BM38" i="39"/>
  <c r="BI38" i="39"/>
  <c r="BK38" i="39"/>
  <c r="DS31" i="39"/>
  <c r="R32" i="39"/>
  <c r="AZ32" i="39"/>
  <c r="AT32" i="39"/>
  <c r="BO32" i="39"/>
  <c r="DF32" i="39"/>
  <c r="DS32" i="39"/>
  <c r="T33" i="39"/>
  <c r="AX33" i="39"/>
  <c r="CB33" i="39"/>
  <c r="DF33" i="39"/>
  <c r="T34" i="39"/>
  <c r="AX34" i="39"/>
  <c r="CB34" i="39"/>
  <c r="DF34" i="39"/>
  <c r="DH35" i="39"/>
  <c r="DB35" i="39"/>
  <c r="DF35" i="39"/>
  <c r="DD35" i="39"/>
  <c r="DW37" i="39"/>
  <c r="CM38" i="39"/>
  <c r="DD38" i="39"/>
  <c r="DH38" i="39"/>
  <c r="DB38" i="39"/>
  <c r="R39" i="39"/>
  <c r="V39" i="39"/>
  <c r="P39" i="39"/>
  <c r="AV39" i="39"/>
  <c r="AZ39" i="39"/>
  <c r="AT39" i="39"/>
  <c r="BZ39" i="39"/>
  <c r="CD39" i="39"/>
  <c r="BX39" i="39"/>
  <c r="DD39" i="39"/>
  <c r="DH39" i="39"/>
  <c r="DB39" i="39"/>
  <c r="R40" i="39"/>
  <c r="V40" i="39"/>
  <c r="P40" i="39"/>
  <c r="AV40" i="39"/>
  <c r="AZ40" i="39"/>
  <c r="AT40" i="39"/>
  <c r="BZ40" i="39"/>
  <c r="CD40" i="39"/>
  <c r="BX40" i="39"/>
  <c r="DD40" i="39"/>
  <c r="DH40" i="39"/>
  <c r="DB40" i="39"/>
  <c r="R41" i="39"/>
  <c r="V41" i="39"/>
  <c r="P41" i="39"/>
  <c r="W55" i="41"/>
  <c r="W61" i="41" s="1"/>
  <c r="E61" i="41"/>
  <c r="N55" i="41"/>
  <c r="N61" i="41" s="1"/>
  <c r="V38" i="39"/>
  <c r="P38" i="39"/>
  <c r="AV41" i="39"/>
  <c r="AZ41" i="39"/>
  <c r="AT41" i="39"/>
  <c r="BZ41" i="39"/>
  <c r="CD41" i="39"/>
  <c r="BX41" i="39"/>
  <c r="T38" i="39"/>
  <c r="CD38" i="39"/>
  <c r="BX38" i="39"/>
  <c r="CS38" i="39"/>
  <c r="CB41" i="39"/>
  <c r="DD41" i="39"/>
  <c r="DH41" i="39"/>
  <c r="DB41" i="39"/>
  <c r="BM42" i="39"/>
  <c r="BK42" i="39"/>
  <c r="CQ42" i="39"/>
  <c r="CO42" i="39"/>
  <c r="DU42" i="39"/>
  <c r="DS42" i="39"/>
  <c r="BK43" i="39"/>
  <c r="BO43" i="39"/>
  <c r="BI43" i="39"/>
  <c r="CO43" i="39"/>
  <c r="CS43" i="39"/>
  <c r="CM43" i="39"/>
  <c r="DS43" i="39"/>
  <c r="DW43" i="39"/>
  <c r="DQ43" i="39"/>
  <c r="DU43" i="39"/>
  <c r="P42" i="39"/>
  <c r="AT42" i="39"/>
  <c r="BX42" i="39"/>
  <c r="DB42" i="39"/>
  <c r="I15" i="31"/>
  <c r="M12" i="31"/>
  <c r="M14" i="31" s="1"/>
  <c r="O50" i="33"/>
  <c r="O54" i="33" s="1"/>
  <c r="O47" i="33" s="1"/>
  <c r="D6" i="33" s="1"/>
  <c r="D42" i="33" s="1"/>
  <c r="D47" i="33" s="1"/>
  <c r="AB5" i="32" s="1"/>
  <c r="AE5" i="32" s="1"/>
  <c r="M50" i="33"/>
  <c r="M54" i="33" s="1"/>
  <c r="M47" i="33" s="1"/>
  <c r="F6" i="33" s="1"/>
  <c r="F42" i="33" s="1"/>
  <c r="F47" i="33" s="1"/>
  <c r="AJ5" i="32" s="1"/>
  <c r="AM5" i="32" s="1"/>
  <c r="AM47" i="32" s="1"/>
  <c r="H28" i="31" s="1"/>
  <c r="F28" i="31" s="1"/>
  <c r="AG51" i="33"/>
  <c r="AG55" i="33" s="1"/>
  <c r="AG48" i="33" s="1"/>
  <c r="AI51" i="33"/>
  <c r="AI55" i="33" s="1"/>
  <c r="AI48" i="33" s="1"/>
  <c r="AG50" i="33"/>
  <c r="AG54" i="33" s="1"/>
  <c r="AG47" i="33" s="1"/>
  <c r="BS33" i="32"/>
  <c r="BS35" i="32"/>
  <c r="W47" i="32"/>
  <c r="H20" i="31" s="1"/>
  <c r="F20" i="31" s="1"/>
  <c r="I20" i="31" s="1"/>
  <c r="BC47" i="32"/>
  <c r="H38" i="31" s="1"/>
  <c r="F38" i="31" s="1"/>
  <c r="I38" i="31" s="1"/>
  <c r="AU48" i="32"/>
  <c r="H37" i="31" s="1"/>
  <c r="F37" i="31" s="1"/>
  <c r="I37" i="31" s="1"/>
  <c r="Q42" i="33"/>
  <c r="K52" i="33" s="1"/>
  <c r="Q52" i="33" s="1"/>
  <c r="Q54" i="33" s="1"/>
  <c r="Q47" i="33" s="1"/>
  <c r="E6" i="33" s="1"/>
  <c r="AK42" i="33"/>
  <c r="AE52" i="33" s="1"/>
  <c r="AK52" i="33" s="1"/>
  <c r="AK54" i="33" s="1"/>
  <c r="AK47" i="33" s="1"/>
  <c r="E10" i="33" s="1"/>
  <c r="AA48" i="33"/>
  <c r="C9" i="33" s="1"/>
  <c r="C43" i="33" s="1"/>
  <c r="C48" i="33" s="1"/>
  <c r="AB8" i="32" s="1"/>
  <c r="AQ47" i="33"/>
  <c r="M51" i="33"/>
  <c r="M55" i="33" s="1"/>
  <c r="M48" i="33" s="1"/>
  <c r="F7" i="33" s="1"/>
  <c r="F43" i="33" s="1"/>
  <c r="F48" i="33" s="1"/>
  <c r="AJ6" i="32" s="1"/>
  <c r="G47" i="32"/>
  <c r="H12" i="31" s="1"/>
  <c r="F12" i="31" s="1"/>
  <c r="I12" i="31" s="1"/>
  <c r="I14" i="31" s="1"/>
  <c r="O48" i="32"/>
  <c r="H19" i="31" s="1"/>
  <c r="F19" i="31" s="1"/>
  <c r="I19" i="31" s="1"/>
  <c r="AE48" i="32"/>
  <c r="H27" i="31" s="1"/>
  <c r="F27" i="31" s="1"/>
  <c r="I27" i="31" s="1"/>
  <c r="BK48" i="32"/>
  <c r="BS23" i="32"/>
  <c r="BS25" i="32"/>
  <c r="W47" i="33"/>
  <c r="AD47" i="8" l="1"/>
  <c r="CD47" i="39"/>
  <c r="F14" i="39" s="1"/>
  <c r="BX47" i="39"/>
  <c r="C14" i="39" s="1"/>
  <c r="CQ48" i="39"/>
  <c r="E17" i="39" s="1"/>
  <c r="CB47" i="39"/>
  <c r="E14" i="39" s="1"/>
  <c r="R48" i="39"/>
  <c r="D7" i="39" s="1"/>
  <c r="DQ47" i="39"/>
  <c r="C20" i="39" s="1"/>
  <c r="AX48" i="39"/>
  <c r="E11" i="39" s="1"/>
  <c r="V48" i="39"/>
  <c r="F7" i="39" s="1"/>
  <c r="BI48" i="39"/>
  <c r="C13" i="39" s="1"/>
  <c r="I43" i="37"/>
  <c r="BK48" i="39"/>
  <c r="D13" i="39" s="1"/>
  <c r="DB47" i="39"/>
  <c r="C18" i="39" s="1"/>
  <c r="AV48" i="39"/>
  <c r="D11" i="39" s="1"/>
  <c r="DH48" i="39"/>
  <c r="F19" i="39" s="1"/>
  <c r="DD48" i="39"/>
  <c r="D19" i="39" s="1"/>
  <c r="DF47" i="39"/>
  <c r="E18" i="39" s="1"/>
  <c r="BK47" i="39"/>
  <c r="D12" i="39" s="1"/>
  <c r="I28" i="31"/>
  <c r="H58" i="31" s="1"/>
  <c r="DF48" i="39"/>
  <c r="E19" i="39" s="1"/>
  <c r="AZ48" i="39"/>
  <c r="F11" i="39" s="1"/>
  <c r="DH47" i="39"/>
  <c r="F18" i="39" s="1"/>
  <c r="I41" i="31"/>
  <c r="F41" i="31" s="1"/>
  <c r="CD48" i="39"/>
  <c r="F15" i="39" s="1"/>
  <c r="CM48" i="39"/>
  <c r="C17" i="39" s="1"/>
  <c r="CO47" i="39"/>
  <c r="D16" i="39" s="1"/>
  <c r="DS48" i="39"/>
  <c r="D21" i="39" s="1"/>
  <c r="BS47" i="38"/>
  <c r="H38" i="37" s="1"/>
  <c r="F38" i="37" s="1"/>
  <c r="I38" i="37" s="1"/>
  <c r="I42" i="37" s="1"/>
  <c r="DD47" i="39"/>
  <c r="D18" i="39" s="1"/>
  <c r="BZ48" i="39"/>
  <c r="D15" i="39" s="1"/>
  <c r="I31" i="31"/>
  <c r="H33" i="31" s="1"/>
  <c r="F33" i="31" s="1"/>
  <c r="I33" i="31" s="1"/>
  <c r="I35" i="31" s="1"/>
  <c r="F35" i="31" s="1"/>
  <c r="DU48" i="39"/>
  <c r="E21" i="39" s="1"/>
  <c r="R47" i="39"/>
  <c r="D6" i="39" s="1"/>
  <c r="DU47" i="39"/>
  <c r="E20" i="39" s="1"/>
  <c r="CB48" i="39"/>
  <c r="E15" i="39" s="1"/>
  <c r="BZ47" i="39"/>
  <c r="D14" i="39" s="1"/>
  <c r="DW47" i="39"/>
  <c r="F20" i="39" s="1"/>
  <c r="DB48" i="39"/>
  <c r="C19" i="39" s="1"/>
  <c r="CO48" i="39"/>
  <c r="D17" i="39" s="1"/>
  <c r="I48" i="31"/>
  <c r="H70" i="46"/>
  <c r="I70" i="46" s="1"/>
  <c r="BS47" i="32"/>
  <c r="H36" i="31" s="1"/>
  <c r="F36" i="31" s="1"/>
  <c r="I36" i="31" s="1"/>
  <c r="I40" i="31" s="1"/>
  <c r="F40" i="31" s="1"/>
  <c r="H27" i="37"/>
  <c r="F27" i="37" s="1"/>
  <c r="I27" i="37" s="1"/>
  <c r="I29" i="37" s="1"/>
  <c r="F8" i="39"/>
  <c r="CS48" i="39"/>
  <c r="F17" i="39" s="1"/>
  <c r="DW48" i="39"/>
  <c r="F21" i="39" s="1"/>
  <c r="BO47" i="39"/>
  <c r="F12" i="39" s="1"/>
  <c r="P47" i="39"/>
  <c r="C6" i="39" s="1"/>
  <c r="AX47" i="39"/>
  <c r="E10" i="39" s="1"/>
  <c r="P48" i="39"/>
  <c r="C7" i="39" s="1"/>
  <c r="BM48" i="39"/>
  <c r="CS47" i="39"/>
  <c r="F16" i="39" s="1"/>
  <c r="BI47" i="39"/>
  <c r="C12" i="39" s="1"/>
  <c r="BM47" i="39"/>
  <c r="L154" i="37"/>
  <c r="N154" i="37"/>
  <c r="M154" i="37"/>
  <c r="H60" i="37"/>
  <c r="AT47" i="39"/>
  <c r="C10" i="39" s="1"/>
  <c r="N155" i="37"/>
  <c r="H61" i="37"/>
  <c r="I61" i="37" s="1"/>
  <c r="I63" i="37" s="1"/>
  <c r="M155" i="37"/>
  <c r="L155" i="37"/>
  <c r="DQ48" i="39"/>
  <c r="C21" i="39" s="1"/>
  <c r="D9" i="39"/>
  <c r="CM47" i="39"/>
  <c r="C16" i="39" s="1"/>
  <c r="D8" i="39"/>
  <c r="BO48" i="39"/>
  <c r="F13" i="39" s="1"/>
  <c r="T47" i="39"/>
  <c r="E6" i="39" s="1"/>
  <c r="AZ47" i="39"/>
  <c r="F10" i="39" s="1"/>
  <c r="DS47" i="39"/>
  <c r="D20" i="39" s="1"/>
  <c r="V47" i="39"/>
  <c r="F6" i="39" s="1"/>
  <c r="CQ47" i="39"/>
  <c r="E16" i="39" s="1"/>
  <c r="AV47" i="39"/>
  <c r="D10" i="39" s="1"/>
  <c r="E42" i="33"/>
  <c r="E47" i="33" s="1"/>
  <c r="AB9" i="32" s="1"/>
  <c r="AE9" i="32" s="1"/>
  <c r="AE47" i="32" s="1"/>
  <c r="H26" i="31" s="1"/>
  <c r="F26" i="31" s="1"/>
  <c r="I26" i="31" s="1"/>
  <c r="I30" i="31" s="1"/>
  <c r="H23" i="31"/>
  <c r="F23" i="31" s="1"/>
  <c r="I23" i="31" s="1"/>
  <c r="M22" i="31" s="1"/>
  <c r="M18" i="31"/>
  <c r="F14" i="31"/>
  <c r="F15" i="31"/>
  <c r="E43" i="39" l="1"/>
  <c r="E48" i="39" s="1"/>
  <c r="AZ6" i="38" s="1"/>
  <c r="D43" i="39"/>
  <c r="D48" i="39" s="1"/>
  <c r="AR6" i="38" s="1"/>
  <c r="S89" i="46"/>
  <c r="F58" i="31"/>
  <c r="I58" i="31" s="1"/>
  <c r="I60" i="31" s="1"/>
  <c r="F31" i="31"/>
  <c r="E42" i="39"/>
  <c r="E47" i="39" s="1"/>
  <c r="AZ5" i="38" s="1"/>
  <c r="BC5" i="38" s="1"/>
  <c r="BC47" i="38" s="1"/>
  <c r="H32" i="37" s="1"/>
  <c r="F32" i="37" s="1"/>
  <c r="I32" i="37" s="1"/>
  <c r="F43" i="39"/>
  <c r="F48" i="39" s="1"/>
  <c r="BH6" i="38" s="1"/>
  <c r="D42" i="39"/>
  <c r="D47" i="39" s="1"/>
  <c r="AR5" i="38" s="1"/>
  <c r="AU5" i="38" s="1"/>
  <c r="C43" i="39"/>
  <c r="C48" i="39" s="1"/>
  <c r="AR8" i="38" s="1"/>
  <c r="F42" i="39"/>
  <c r="F47" i="39" s="1"/>
  <c r="BH5" i="38" s="1"/>
  <c r="BK5" i="38" s="1"/>
  <c r="BK47" i="38" s="1"/>
  <c r="H34" i="37" s="1"/>
  <c r="F34" i="37" s="1"/>
  <c r="I34" i="37" s="1"/>
  <c r="F29" i="37"/>
  <c r="I45" i="37"/>
  <c r="F45" i="37" s="1"/>
  <c r="D118" i="37"/>
  <c r="C42" i="39"/>
  <c r="C47" i="39" s="1"/>
  <c r="AR7" i="38" s="1"/>
  <c r="AU7" i="38" s="1"/>
  <c r="O155" i="37"/>
  <c r="D155" i="37" s="1"/>
  <c r="K155" i="37"/>
  <c r="F61" i="37" s="1"/>
  <c r="O154" i="37"/>
  <c r="K154" i="37"/>
  <c r="F60" i="37" s="1"/>
  <c r="I60" i="37" s="1"/>
  <c r="I62" i="37" s="1"/>
  <c r="I25" i="31"/>
  <c r="I43" i="31" s="1"/>
  <c r="F43" i="31" s="1"/>
  <c r="M24" i="31"/>
  <c r="H32" i="31"/>
  <c r="F32" i="31" s="1"/>
  <c r="I32" i="31" s="1"/>
  <c r="I34" i="31" s="1"/>
  <c r="F34" i="31" s="1"/>
  <c r="F30" i="31"/>
  <c r="D116" i="31"/>
  <c r="AU47" i="38" l="1"/>
  <c r="H30" i="37" s="1"/>
  <c r="F30" i="37" s="1"/>
  <c r="I30" i="37" s="1"/>
  <c r="I36" i="37" s="1"/>
  <c r="D154" i="37"/>
  <c r="N121" i="37"/>
  <c r="H49" i="37"/>
  <c r="I49" i="37" s="1"/>
  <c r="I55" i="37" s="1"/>
  <c r="M121" i="37"/>
  <c r="L121" i="37"/>
  <c r="F25" i="31"/>
  <c r="L119" i="31"/>
  <c r="N119" i="31"/>
  <c r="H47" i="31"/>
  <c r="I47" i="31" s="1"/>
  <c r="I53" i="31" s="1"/>
  <c r="M119" i="31"/>
  <c r="O121" i="37" l="1"/>
  <c r="D121" i="37" s="1"/>
  <c r="K121" i="37"/>
  <c r="F49" i="37" s="1"/>
  <c r="D135" i="37"/>
  <c r="D133" i="31"/>
  <c r="K119" i="31"/>
  <c r="F47" i="31" s="1"/>
  <c r="O119" i="31"/>
  <c r="D119" i="31" s="1"/>
  <c r="L138" i="37" l="1"/>
  <c r="H57" i="37"/>
  <c r="I57" i="37" s="1"/>
  <c r="I59" i="37" s="1"/>
  <c r="I65" i="37" s="1"/>
  <c r="I67" i="37" s="1"/>
  <c r="N138" i="37"/>
  <c r="M138" i="37"/>
  <c r="N136" i="31"/>
  <c r="M136" i="31"/>
  <c r="L136" i="31"/>
  <c r="H55" i="31"/>
  <c r="I55" i="31" s="1"/>
  <c r="I57" i="31" s="1"/>
  <c r="I63" i="31" s="1"/>
  <c r="I65" i="31" s="1"/>
  <c r="D176" i="37" l="1"/>
  <c r="H71" i="37"/>
  <c r="H73" i="37"/>
  <c r="O138" i="37"/>
  <c r="D138" i="37" s="1"/>
  <c r="K138" i="37"/>
  <c r="F57" i="37" s="1"/>
  <c r="K136" i="31"/>
  <c r="F55" i="31" s="1"/>
  <c r="O136" i="31"/>
  <c r="D136" i="31" s="1"/>
  <c r="D150" i="31"/>
  <c r="J71" i="37" l="1"/>
  <c r="I73" i="37"/>
  <c r="F73" i="37"/>
  <c r="D191" i="37"/>
  <c r="L179" i="37"/>
  <c r="N179" i="37"/>
  <c r="L191" i="37"/>
  <c r="F71" i="37" s="1"/>
  <c r="L71" i="37" s="1"/>
  <c r="M179" i="37"/>
  <c r="L153" i="31"/>
  <c r="H69" i="31"/>
  <c r="I69" i="31" s="1"/>
  <c r="I71" i="31" s="1"/>
  <c r="I73" i="31" s="1"/>
  <c r="M153" i="31"/>
  <c r="N153" i="31"/>
  <c r="L75" i="37" l="1"/>
  <c r="O179" i="37"/>
  <c r="D179" i="37" s="1"/>
  <c r="K179" i="37"/>
  <c r="H79" i="31"/>
  <c r="H77" i="31"/>
  <c r="L189" i="31"/>
  <c r="D174" i="31"/>
  <c r="O153" i="31"/>
  <c r="D153" i="31" s="1"/>
  <c r="K153" i="31"/>
  <c r="F69" i="31" s="1"/>
  <c r="I77" i="37" l="1"/>
  <c r="L77" i="37" s="1"/>
  <c r="I71" i="37" s="1"/>
  <c r="I75" i="37" s="1"/>
  <c r="J77" i="31"/>
  <c r="I79" i="31"/>
  <c r="F79" i="31"/>
  <c r="N177" i="31"/>
  <c r="D199" i="31"/>
  <c r="D192" i="31"/>
  <c r="D189" i="31"/>
  <c r="L199" i="31"/>
  <c r="F77" i="31" s="1"/>
  <c r="L77" i="31" s="1"/>
  <c r="M177" i="31"/>
  <c r="L192" i="31"/>
  <c r="L177" i="31"/>
  <c r="L81" i="31" l="1"/>
  <c r="O177" i="31"/>
  <c r="D177" i="31" s="1"/>
  <c r="K177" i="31"/>
  <c r="I83" i="31" l="1"/>
  <c r="L83" i="31" s="1"/>
  <c r="I77" i="31" s="1"/>
  <c r="I81" i="31" s="1"/>
  <c r="I67" i="19"/>
  <c r="I64" i="19"/>
  <c r="Z92" i="28" l="1"/>
  <c r="X92" i="28"/>
  <c r="V92" i="28"/>
  <c r="T92" i="28"/>
  <c r="Z91" i="28"/>
  <c r="X91" i="28"/>
  <c r="V91" i="28"/>
  <c r="T91" i="28"/>
  <c r="AB91" i="28" s="1"/>
  <c r="Z90" i="28"/>
  <c r="X90" i="28"/>
  <c r="V90" i="28"/>
  <c r="T90" i="28"/>
  <c r="AB90" i="28" s="1"/>
  <c r="AC88" i="28"/>
  <c r="Z87" i="28"/>
  <c r="X87" i="28"/>
  <c r="V87" i="28"/>
  <c r="T87" i="28"/>
  <c r="R87" i="28"/>
  <c r="P87" i="28"/>
  <c r="L87" i="28"/>
  <c r="J87" i="28"/>
  <c r="H87" i="28"/>
  <c r="F87" i="28"/>
  <c r="Z86" i="28"/>
  <c r="X86" i="28"/>
  <c r="V86" i="28"/>
  <c r="T86" i="28"/>
  <c r="R86" i="28"/>
  <c r="P86" i="28"/>
  <c r="L86" i="28"/>
  <c r="J86" i="28"/>
  <c r="H86" i="28"/>
  <c r="F86" i="28"/>
  <c r="Z85" i="28"/>
  <c r="V85" i="28"/>
  <c r="T85" i="28"/>
  <c r="R85" i="28"/>
  <c r="P85" i="28"/>
  <c r="N85" i="28"/>
  <c r="V84" i="28"/>
  <c r="T84" i="28"/>
  <c r="R84" i="28"/>
  <c r="P84" i="28"/>
  <c r="N84" i="28"/>
  <c r="M83" i="28"/>
  <c r="K83" i="28"/>
  <c r="I83" i="28"/>
  <c r="G83" i="28"/>
  <c r="M82" i="28"/>
  <c r="K82" i="28"/>
  <c r="I82" i="28"/>
  <c r="G82" i="28"/>
  <c r="AC79" i="28"/>
  <c r="AB78" i="28"/>
  <c r="AB80" i="28" s="1"/>
  <c r="Z78" i="28"/>
  <c r="X78" i="28"/>
  <c r="V78" i="28"/>
  <c r="T78" i="28"/>
  <c r="R78" i="28"/>
  <c r="P78" i="28"/>
  <c r="F78" i="28"/>
  <c r="Z77" i="28"/>
  <c r="X77" i="28"/>
  <c r="V77" i="28"/>
  <c r="T77" i="28"/>
  <c r="R77" i="28"/>
  <c r="P77" i="28"/>
  <c r="F77" i="28"/>
  <c r="AB76" i="28"/>
  <c r="V76" i="28"/>
  <c r="T76" i="28"/>
  <c r="R76" i="28"/>
  <c r="V75" i="28"/>
  <c r="T75" i="28"/>
  <c r="R75" i="28"/>
  <c r="Z73" i="28"/>
  <c r="Z93" i="28" s="1"/>
  <c r="X73" i="28"/>
  <c r="X75" i="28" s="1"/>
  <c r="Z69" i="28"/>
  <c r="X69" i="28"/>
  <c r="V69" i="28"/>
  <c r="T69" i="28"/>
  <c r="R69" i="28"/>
  <c r="P69" i="28"/>
  <c r="J69" i="28"/>
  <c r="H69" i="28"/>
  <c r="F69" i="28"/>
  <c r="Z68" i="28"/>
  <c r="X68" i="28"/>
  <c r="V68" i="28"/>
  <c r="T68" i="28"/>
  <c r="R68" i="28"/>
  <c r="P68" i="28"/>
  <c r="L68" i="28"/>
  <c r="J68" i="28"/>
  <c r="H68" i="28"/>
  <c r="F68" i="28"/>
  <c r="Z67" i="28"/>
  <c r="V67" i="28"/>
  <c r="T67" i="28"/>
  <c r="R67" i="28"/>
  <c r="P67" i="28"/>
  <c r="N67" i="28"/>
  <c r="Z66" i="28"/>
  <c r="V66" i="28"/>
  <c r="T66" i="28"/>
  <c r="R66" i="28"/>
  <c r="P66" i="28"/>
  <c r="N66" i="28"/>
  <c r="N65" i="28"/>
  <c r="L65" i="28"/>
  <c r="L83" i="28" s="1"/>
  <c r="L85" i="28" s="1"/>
  <c r="J65" i="28"/>
  <c r="J83" i="28" s="1"/>
  <c r="J85" i="28" s="1"/>
  <c r="H65" i="28"/>
  <c r="H67" i="28" s="1"/>
  <c r="N64" i="28"/>
  <c r="N68" i="28" s="1"/>
  <c r="L64" i="28"/>
  <c r="L66" i="28" s="1"/>
  <c r="J64" i="28"/>
  <c r="J82" i="28" s="1"/>
  <c r="J84" i="28" s="1"/>
  <c r="H64" i="28"/>
  <c r="H66" i="28" s="1"/>
  <c r="N63" i="28"/>
  <c r="L63" i="28"/>
  <c r="J63" i="28"/>
  <c r="H63" i="28"/>
  <c r="N62" i="28"/>
  <c r="L62" i="28"/>
  <c r="J62" i="28"/>
  <c r="H62" i="28"/>
  <c r="N61" i="28"/>
  <c r="M61" i="28"/>
  <c r="L61" i="28"/>
  <c r="K61" i="28"/>
  <c r="J61" i="28"/>
  <c r="I61" i="28"/>
  <c r="H61" i="28"/>
  <c r="G61" i="28"/>
  <c r="N60" i="28"/>
  <c r="M60" i="28"/>
  <c r="L60" i="28"/>
  <c r="K60" i="28"/>
  <c r="J60" i="28"/>
  <c r="I60" i="28"/>
  <c r="H60" i="28"/>
  <c r="G60" i="28"/>
  <c r="W58" i="28"/>
  <c r="M58" i="28"/>
  <c r="K58" i="28"/>
  <c r="I58" i="28"/>
  <c r="G58" i="28"/>
  <c r="Z57" i="28"/>
  <c r="Y57" i="28"/>
  <c r="X57" i="28"/>
  <c r="W57" i="28"/>
  <c r="V57" i="28"/>
  <c r="U57" i="28"/>
  <c r="T57" i="28"/>
  <c r="S57" i="28"/>
  <c r="R57" i="28"/>
  <c r="Q57" i="28"/>
  <c r="P57" i="28"/>
  <c r="O57" i="28"/>
  <c r="Z50" i="28"/>
  <c r="V50" i="28"/>
  <c r="T50" i="28"/>
  <c r="R50" i="28"/>
  <c r="P50" i="28"/>
  <c r="F50" i="28"/>
  <c r="Z49" i="28"/>
  <c r="V49" i="28"/>
  <c r="T49" i="28"/>
  <c r="R49" i="28"/>
  <c r="P49" i="28"/>
  <c r="F49" i="28"/>
  <c r="Z48" i="28"/>
  <c r="V48" i="28"/>
  <c r="T48" i="28"/>
  <c r="R48" i="28"/>
  <c r="P48" i="28"/>
  <c r="Z47" i="28"/>
  <c r="V47" i="28"/>
  <c r="T47" i="28"/>
  <c r="R47" i="28"/>
  <c r="P47" i="28"/>
  <c r="AB42" i="28"/>
  <c r="AB44" i="28" s="1"/>
  <c r="Z36" i="28"/>
  <c r="X36" i="28"/>
  <c r="V36" i="28"/>
  <c r="T36" i="28"/>
  <c r="R36" i="28"/>
  <c r="P36" i="28"/>
  <c r="F36" i="28"/>
  <c r="Z35" i="28"/>
  <c r="X35" i="28"/>
  <c r="V35" i="28"/>
  <c r="T35" i="28"/>
  <c r="R35" i="28"/>
  <c r="P35" i="28"/>
  <c r="F35" i="28"/>
  <c r="V34" i="28"/>
  <c r="T34" i="28"/>
  <c r="R34" i="28"/>
  <c r="P34" i="28"/>
  <c r="V33" i="28"/>
  <c r="T33" i="28"/>
  <c r="R33" i="28"/>
  <c r="P33" i="28"/>
  <c r="AE25" i="28"/>
  <c r="X25" i="28"/>
  <c r="V25" i="28"/>
  <c r="T25" i="28"/>
  <c r="R25" i="28"/>
  <c r="P25" i="28"/>
  <c r="F25" i="28"/>
  <c r="AE24" i="28"/>
  <c r="X24" i="28"/>
  <c r="V24" i="28"/>
  <c r="T24" i="28"/>
  <c r="R24" i="28"/>
  <c r="P24" i="28"/>
  <c r="F24" i="28"/>
  <c r="AB23" i="28"/>
  <c r="Y23" i="28"/>
  <c r="W23" i="28"/>
  <c r="U23" i="28"/>
  <c r="S23" i="28"/>
  <c r="Q23" i="28"/>
  <c r="O23" i="28"/>
  <c r="E23" i="28"/>
  <c r="AB22" i="28"/>
  <c r="Y22" i="28"/>
  <c r="W22" i="28"/>
  <c r="U22" i="28"/>
  <c r="S22" i="28"/>
  <c r="Q22" i="28"/>
  <c r="O22" i="28"/>
  <c r="E22" i="28"/>
  <c r="V19" i="28"/>
  <c r="T19" i="28"/>
  <c r="R19" i="28"/>
  <c r="P19" i="28"/>
  <c r="V18" i="28"/>
  <c r="T18" i="28"/>
  <c r="R18" i="28"/>
  <c r="P18" i="28"/>
  <c r="Y17" i="28"/>
  <c r="U17" i="28"/>
  <c r="S17" i="28"/>
  <c r="Q17" i="28"/>
  <c r="O17" i="28"/>
  <c r="U16" i="28"/>
  <c r="S16" i="28"/>
  <c r="Q16" i="28"/>
  <c r="O16" i="28"/>
  <c r="V13" i="28"/>
  <c r="T13" i="28"/>
  <c r="R13" i="28"/>
  <c r="P13" i="28"/>
  <c r="V12" i="28"/>
  <c r="T12" i="28"/>
  <c r="R12" i="28"/>
  <c r="P12" i="28"/>
  <c r="Y11" i="28"/>
  <c r="U11" i="28"/>
  <c r="S11" i="28"/>
  <c r="Q11" i="28"/>
  <c r="O11" i="28"/>
  <c r="U10" i="28"/>
  <c r="S10" i="28"/>
  <c r="Q10" i="28"/>
  <c r="O10" i="28"/>
  <c r="Y58" i="28"/>
  <c r="U6" i="28"/>
  <c r="U58" i="28" s="1"/>
  <c r="S6" i="28"/>
  <c r="S58" i="28" s="1"/>
  <c r="Q6" i="28"/>
  <c r="Q58" i="28" s="1"/>
  <c r="O6" i="28"/>
  <c r="O58" i="28" s="1"/>
  <c r="E58" i="28"/>
  <c r="K42" i="51"/>
  <c r="K60" i="51" l="1"/>
  <c r="S24" i="51"/>
  <c r="S26" i="51" s="1"/>
  <c r="S28" i="51" s="1"/>
  <c r="AA22" i="28"/>
  <c r="Z25" i="28"/>
  <c r="AD25" i="28" s="1"/>
  <c r="L82" i="28"/>
  <c r="L84" i="28" s="1"/>
  <c r="H82" i="28"/>
  <c r="H84" i="28" s="1"/>
  <c r="AA23" i="28"/>
  <c r="R27" i="28"/>
  <c r="Q27" i="28" s="1"/>
  <c r="T27" i="28"/>
  <c r="S27" i="28" s="1"/>
  <c r="P27" i="28"/>
  <c r="P41" i="28" s="1"/>
  <c r="V27" i="28"/>
  <c r="V29" i="28" s="1"/>
  <c r="V31" i="28" s="1"/>
  <c r="AB36" i="28"/>
  <c r="R26" i="28"/>
  <c r="Q26" i="28" s="1"/>
  <c r="P26" i="28"/>
  <c r="T26" i="28"/>
  <c r="S26" i="28" s="1"/>
  <c r="V26" i="28"/>
  <c r="V40" i="28" s="1"/>
  <c r="AB75" i="28"/>
  <c r="AB35" i="28"/>
  <c r="AB77" i="28"/>
  <c r="X93" i="28"/>
  <c r="J66" i="28"/>
  <c r="J67" i="28"/>
  <c r="AB92" i="28"/>
  <c r="Z24" i="28"/>
  <c r="AD24" i="28" s="1"/>
  <c r="N82" i="28"/>
  <c r="N86" i="28" s="1"/>
  <c r="AB86" i="28" s="1"/>
  <c r="N83" i="28"/>
  <c r="N87" i="28" s="1"/>
  <c r="AB87" i="28" s="1"/>
  <c r="N69" i="28"/>
  <c r="AB69" i="28" s="1"/>
  <c r="AB68" i="28"/>
  <c r="L67" i="28"/>
  <c r="H83" i="28"/>
  <c r="H85" i="28" s="1"/>
  <c r="R29" i="28" l="1"/>
  <c r="R31" i="28" s="1"/>
  <c r="T41" i="28"/>
  <c r="T61" i="28" s="1"/>
  <c r="T29" i="28"/>
  <c r="T31" i="28" s="1"/>
  <c r="V41" i="28"/>
  <c r="V61" i="28" s="1"/>
  <c r="R41" i="28"/>
  <c r="R61" i="28" s="1"/>
  <c r="Z27" i="28"/>
  <c r="Z29" i="28" s="1"/>
  <c r="Z31" i="28" s="1"/>
  <c r="P29" i="28"/>
  <c r="P31" i="28" s="1"/>
  <c r="O27" i="28"/>
  <c r="O41" i="28" s="1"/>
  <c r="O83" i="28" s="1"/>
  <c r="U27" i="28"/>
  <c r="U61" i="28" s="1"/>
  <c r="F27" i="28"/>
  <c r="P40" i="28"/>
  <c r="P60" i="28" s="1"/>
  <c r="R40" i="28"/>
  <c r="R60" i="28" s="1"/>
  <c r="T28" i="28"/>
  <c r="T30" i="28" s="1"/>
  <c r="R28" i="28"/>
  <c r="R30" i="28" s="1"/>
  <c r="P28" i="28"/>
  <c r="O26" i="28"/>
  <c r="O40" i="28" s="1"/>
  <c r="O82" i="28" s="1"/>
  <c r="U26" i="28"/>
  <c r="U60" i="28" s="1"/>
  <c r="T40" i="28"/>
  <c r="T42" i="28" s="1"/>
  <c r="T62" i="28" s="1"/>
  <c r="AB79" i="28"/>
  <c r="V28" i="28"/>
  <c r="V30" i="28" s="1"/>
  <c r="Y27" i="28"/>
  <c r="S61" i="28"/>
  <c r="S41" i="28"/>
  <c r="Q40" i="28"/>
  <c r="Q60" i="28"/>
  <c r="S40" i="28"/>
  <c r="S60" i="28"/>
  <c r="P43" i="28"/>
  <c r="P63" i="28" s="1"/>
  <c r="P61" i="28"/>
  <c r="V60" i="28"/>
  <c r="V42" i="28"/>
  <c r="V62" i="28" s="1"/>
  <c r="Q61" i="28"/>
  <c r="Q41" i="28"/>
  <c r="Z41" i="28" l="1"/>
  <c r="T43" i="28"/>
  <c r="T63" i="28" s="1"/>
  <c r="R43" i="28"/>
  <c r="R63" i="28" s="1"/>
  <c r="O61" i="28"/>
  <c r="V43" i="28"/>
  <c r="V63" i="28" s="1"/>
  <c r="U41" i="28"/>
  <c r="U74" i="28" s="1"/>
  <c r="V74" i="28" s="1"/>
  <c r="F29" i="28"/>
  <c r="P30" i="28"/>
  <c r="P42" i="28"/>
  <c r="P62" i="28" s="1"/>
  <c r="R42" i="28"/>
  <c r="R62" i="28" s="1"/>
  <c r="T60" i="28"/>
  <c r="U40" i="28"/>
  <c r="U82" i="28" s="1"/>
  <c r="O60" i="28"/>
  <c r="V44" i="28"/>
  <c r="V64" i="28" s="1"/>
  <c r="Q82" i="28"/>
  <c r="Q73" i="28"/>
  <c r="R73" i="28" s="1"/>
  <c r="T44" i="28"/>
  <c r="T64" i="28" s="1"/>
  <c r="Y61" i="28"/>
  <c r="Y41" i="28"/>
  <c r="P45" i="28"/>
  <c r="P65" i="28" s="1"/>
  <c r="P83" i="28" s="1"/>
  <c r="Q83" i="28"/>
  <c r="Q74" i="28"/>
  <c r="R74" i="28" s="1"/>
  <c r="S82" i="28"/>
  <c r="S73" i="28"/>
  <c r="T73" i="28" s="1"/>
  <c r="T93" i="28" s="1"/>
  <c r="S83" i="28"/>
  <c r="S74" i="28"/>
  <c r="T74" i="28" s="1"/>
  <c r="Z43" i="28"/>
  <c r="Z63" i="28" s="1"/>
  <c r="Z61" i="28"/>
  <c r="T45" i="28" l="1"/>
  <c r="T65" i="28" s="1"/>
  <c r="T83" i="28" s="1"/>
  <c r="R45" i="28"/>
  <c r="R65" i="28" s="1"/>
  <c r="R83" i="28" s="1"/>
  <c r="U83" i="28"/>
  <c r="V45" i="28"/>
  <c r="V65" i="28" s="1"/>
  <c r="V83" i="28" s="1"/>
  <c r="F31" i="28"/>
  <c r="F34" i="28" s="1"/>
  <c r="P44" i="28"/>
  <c r="P64" i="28" s="1"/>
  <c r="P82" i="28" s="1"/>
  <c r="R44" i="28"/>
  <c r="R64" i="28" s="1"/>
  <c r="R82" i="28" s="1"/>
  <c r="U73" i="28"/>
  <c r="V73" i="28" s="1"/>
  <c r="V93" i="28" s="1"/>
  <c r="AB93" i="28" s="1"/>
  <c r="Z45" i="28"/>
  <c r="Z65" i="28" s="1"/>
  <c r="Z83" i="28" s="1"/>
  <c r="T82" i="28"/>
  <c r="Y83" i="28"/>
  <c r="Y74" i="28"/>
  <c r="F61" i="28" l="1"/>
  <c r="V82" i="28"/>
  <c r="AB73" i="28"/>
  <c r="W40" i="28" l="1"/>
  <c r="W82" i="28" l="1"/>
  <c r="E82" i="28" l="1"/>
  <c r="I271" i="19" l="1"/>
  <c r="I268" i="19"/>
  <c r="I79" i="19" l="1"/>
  <c r="O9" i="38"/>
  <c r="I127" i="19" l="1"/>
  <c r="I124" i="19"/>
  <c r="I178" i="19"/>
  <c r="I190" i="19"/>
  <c r="I205" i="19"/>
  <c r="I211" i="19"/>
  <c r="I229" i="19"/>
  <c r="I235" i="19"/>
  <c r="I244" i="19"/>
  <c r="I250" i="19"/>
  <c r="I262" i="19"/>
  <c r="I259" i="19"/>
  <c r="I256" i="19"/>
  <c r="I253" i="19"/>
  <c r="I73" i="19" l="1"/>
  <c r="I70" i="19"/>
  <c r="I61" i="19"/>
  <c r="I58" i="19"/>
  <c r="I76" i="19"/>
  <c r="I91" i="19"/>
  <c r="I241" i="19" l="1"/>
  <c r="I238" i="19"/>
  <c r="I232" i="19"/>
  <c r="I214" i="19"/>
  <c r="I154" i="19"/>
  <c r="I148" i="19"/>
  <c r="I106" i="19"/>
  <c r="I112" i="19"/>
  <c r="I109" i="19"/>
  <c r="H7" i="19"/>
  <c r="I7" i="19" s="1"/>
  <c r="I199" i="19"/>
  <c r="I223" i="19"/>
  <c r="I175" i="19"/>
  <c r="I145" i="19"/>
  <c r="I142" i="19"/>
  <c r="I166" i="19"/>
  <c r="I226" i="19"/>
  <c r="I187" i="19"/>
  <c r="I172" i="19"/>
  <c r="I169" i="19"/>
  <c r="I121" i="19"/>
  <c r="I118" i="19"/>
  <c r="I184" i="19"/>
  <c r="I196" i="19"/>
  <c r="I139" i="19"/>
  <c r="I136" i="19"/>
  <c r="H301" i="19"/>
  <c r="I301" i="19" s="1"/>
  <c r="H298" i="19"/>
  <c r="I298" i="19" s="1"/>
  <c r="H295" i="19"/>
  <c r="I295" i="19" s="1"/>
  <c r="H292" i="19"/>
  <c r="I292" i="19" s="1"/>
  <c r="H289" i="19"/>
  <c r="I289" i="19" s="1"/>
  <c r="H286" i="19"/>
  <c r="I286" i="19" s="1"/>
  <c r="H283" i="19"/>
  <c r="I283" i="19" s="1"/>
  <c r="H280" i="19"/>
  <c r="I280" i="19" s="1"/>
  <c r="H277" i="19"/>
  <c r="I277" i="19" s="1"/>
  <c r="H274" i="19"/>
  <c r="I274" i="19" s="1"/>
  <c r="V11" i="38" l="1"/>
  <c r="W11" i="38" s="1"/>
  <c r="V9" i="38"/>
  <c r="W9" i="38" s="1"/>
  <c r="V45" i="38" s="1"/>
  <c r="T45" i="38" s="1"/>
  <c r="W45" i="38" s="1"/>
  <c r="W47" i="38" s="1"/>
  <c r="H20" i="37" s="1"/>
  <c r="F20" i="37" s="1"/>
  <c r="I20" i="37" s="1"/>
  <c r="B35" i="21"/>
  <c r="B20" i="21"/>
  <c r="B11" i="21"/>
  <c r="B9" i="21"/>
  <c r="B7" i="21"/>
  <c r="I13" i="19" l="1"/>
  <c r="I16" i="19"/>
  <c r="I19" i="19"/>
  <c r="I22" i="19"/>
  <c r="I25" i="19"/>
  <c r="I28" i="19"/>
  <c r="I31" i="19"/>
  <c r="I34" i="19"/>
  <c r="I37" i="19"/>
  <c r="I103" i="19"/>
  <c r="I130" i="19"/>
  <c r="I133" i="19"/>
  <c r="I151" i="19"/>
  <c r="I157" i="19"/>
  <c r="I160" i="19"/>
  <c r="I163" i="19"/>
  <c r="I181" i="19"/>
  <c r="I193" i="19"/>
  <c r="I202" i="19"/>
  <c r="I208" i="19"/>
  <c r="I217" i="19"/>
  <c r="I220" i="19"/>
  <c r="I10" i="19"/>
  <c r="N5" i="32" l="1"/>
  <c r="O5" i="32" s="1"/>
  <c r="O47" i="32" s="1"/>
  <c r="H18" i="31" s="1"/>
  <c r="F18" i="31" s="1"/>
  <c r="I18" i="31" s="1"/>
  <c r="H22" i="31" s="1"/>
  <c r="F22" i="31" s="1"/>
  <c r="I22" i="31" s="1"/>
  <c r="I24" i="31" s="1"/>
  <c r="N5" i="38"/>
  <c r="O5" i="38" s="1"/>
  <c r="N7" i="38"/>
  <c r="O7" i="38" s="1"/>
  <c r="A9" i="6"/>
  <c r="A9" i="5"/>
  <c r="N45" i="38" l="1"/>
  <c r="L45" i="38" s="1"/>
  <c r="O45" i="38" s="1"/>
  <c r="O47" i="38" s="1"/>
  <c r="H18" i="37" s="1"/>
  <c r="F18" i="37" s="1"/>
  <c r="I18" i="37" s="1"/>
  <c r="H26" i="37" s="1"/>
  <c r="I26" i="37" s="1"/>
  <c r="I28" i="37" s="1"/>
  <c r="F28" i="37" s="1"/>
  <c r="F24" i="31"/>
  <c r="I42" i="31"/>
  <c r="E62" i="14"/>
  <c r="W60" i="14"/>
  <c r="N60" i="14"/>
  <c r="W59" i="14"/>
  <c r="N59" i="14"/>
  <c r="W58" i="14"/>
  <c r="N58" i="14"/>
  <c r="W57" i="14"/>
  <c r="N57" i="14"/>
  <c r="W56" i="14"/>
  <c r="N56" i="14"/>
  <c r="E55" i="14"/>
  <c r="W55" i="14" s="1"/>
  <c r="AF54" i="14"/>
  <c r="N54" i="14"/>
  <c r="N53" i="14"/>
  <c r="N52" i="14"/>
  <c r="E49" i="14"/>
  <c r="W49" i="14" s="1"/>
  <c r="W48" i="14"/>
  <c r="N48" i="14"/>
  <c r="AF47" i="14"/>
  <c r="W47" i="14"/>
  <c r="E47" i="14"/>
  <c r="W43" i="14"/>
  <c r="N43" i="14"/>
  <c r="AF42" i="14"/>
  <c r="AF53" i="14" s="1"/>
  <c r="W42" i="14"/>
  <c r="N42" i="14"/>
  <c r="N41" i="14"/>
  <c r="N47" i="14" s="1"/>
  <c r="E33" i="14"/>
  <c r="E32" i="14"/>
  <c r="N31" i="14"/>
  <c r="E31" i="14"/>
  <c r="N28" i="14"/>
  <c r="N33" i="14" s="1"/>
  <c r="N27" i="14"/>
  <c r="N32" i="14" s="1"/>
  <c r="N26" i="14"/>
  <c r="E26" i="14"/>
  <c r="E19" i="14"/>
  <c r="E18" i="14"/>
  <c r="N14" i="14"/>
  <c r="N19" i="14" s="1"/>
  <c r="N13" i="14"/>
  <c r="N18" i="14" s="1"/>
  <c r="N62" i="14" l="1"/>
  <c r="W61" i="14"/>
  <c r="I44" i="37"/>
  <c r="F8" i="42" s="1"/>
  <c r="X16" i="28" s="1"/>
  <c r="E8" i="42"/>
  <c r="X10" i="28" s="1"/>
  <c r="F42" i="31"/>
  <c r="D115" i="31"/>
  <c r="H40" i="48"/>
  <c r="I40" i="48" s="1"/>
  <c r="L40" i="48" s="1"/>
  <c r="F44" i="37"/>
  <c r="W62" i="14"/>
  <c r="N55" i="14"/>
  <c r="N61" i="14" s="1"/>
  <c r="E61" i="14"/>
  <c r="N49" i="14"/>
  <c r="D117" i="37" l="1"/>
  <c r="N118" i="31"/>
  <c r="L118" i="31"/>
  <c r="H46" i="31"/>
  <c r="M118" i="31"/>
  <c r="H40" i="46"/>
  <c r="I40" i="46" s="1"/>
  <c r="L40" i="46" s="1"/>
  <c r="M120" i="37"/>
  <c r="H48" i="37"/>
  <c r="L120" i="37"/>
  <c r="N120" i="37"/>
  <c r="AL47" i="8" l="1"/>
  <c r="O118" i="31"/>
  <c r="K118" i="31"/>
  <c r="F46" i="31" s="1"/>
  <c r="I46" i="31" s="1"/>
  <c r="I52" i="31" s="1"/>
  <c r="D132" i="31" s="1"/>
  <c r="O120" i="37"/>
  <c r="K120" i="37"/>
  <c r="F48" i="37" s="1"/>
  <c r="I48" i="37" s="1"/>
  <c r="I54" i="37" s="1"/>
  <c r="D134" i="37" s="1"/>
  <c r="F7" i="49" l="1"/>
  <c r="F7" i="42"/>
  <c r="H54" i="31"/>
  <c r="I54" i="31" s="1"/>
  <c r="I56" i="31" s="1"/>
  <c r="I62" i="31" s="1"/>
  <c r="M135" i="31"/>
  <c r="N135" i="31"/>
  <c r="L135" i="31"/>
  <c r="D118" i="31"/>
  <c r="L137" i="37"/>
  <c r="H56" i="37"/>
  <c r="N137" i="37"/>
  <c r="M137" i="37"/>
  <c r="D120" i="37"/>
  <c r="H12" i="48" l="1"/>
  <c r="I12" i="48" s="1"/>
  <c r="L12" i="48" s="1"/>
  <c r="L34" i="48" s="1"/>
  <c r="I34" i="48" s="1"/>
  <c r="F34" i="48" s="1"/>
  <c r="F6" i="49"/>
  <c r="F14" i="28"/>
  <c r="AB14" i="28" s="1"/>
  <c r="AA14" i="28" s="1"/>
  <c r="K135" i="31"/>
  <c r="F54" i="31" s="1"/>
  <c r="O135" i="31"/>
  <c r="E10" i="42"/>
  <c r="I64" i="31"/>
  <c r="O137" i="37"/>
  <c r="K137" i="37"/>
  <c r="F56" i="37" s="1"/>
  <c r="I56" i="37" s="1"/>
  <c r="I58" i="37" s="1"/>
  <c r="I64" i="37" s="1"/>
  <c r="D153" i="48" l="1"/>
  <c r="M156" i="48" s="1"/>
  <c r="X15" i="28"/>
  <c r="AB15" i="28" s="1"/>
  <c r="D135" i="31"/>
  <c r="D149" i="31"/>
  <c r="E12" i="42"/>
  <c r="F10" i="42"/>
  <c r="I66" i="37"/>
  <c r="D137" i="37"/>
  <c r="N156" i="48" l="1"/>
  <c r="L156" i="48"/>
  <c r="O156" i="48" s="1"/>
  <c r="H88" i="48"/>
  <c r="F9" i="49"/>
  <c r="H68" i="31"/>
  <c r="N152" i="31"/>
  <c r="L152" i="31"/>
  <c r="M152" i="31"/>
  <c r="H72" i="37"/>
  <c r="F72" i="37" s="1"/>
  <c r="I72" i="37" s="1"/>
  <c r="F16" i="42"/>
  <c r="H70" i="37"/>
  <c r="D175" i="37"/>
  <c r="F9" i="42"/>
  <c r="K156" i="48" l="1"/>
  <c r="F88" i="48" s="1"/>
  <c r="I88" i="48" s="1"/>
  <c r="I90" i="48" s="1"/>
  <c r="K152" i="31"/>
  <c r="F68" i="31" s="1"/>
  <c r="I68" i="31" s="1"/>
  <c r="I70" i="31" s="1"/>
  <c r="O152" i="31"/>
  <c r="M178" i="37"/>
  <c r="N178" i="37"/>
  <c r="L178" i="37"/>
  <c r="F8" i="49"/>
  <c r="H38" i="48"/>
  <c r="I38" i="48" s="1"/>
  <c r="L38" i="48" s="1"/>
  <c r="L60" i="48" s="1"/>
  <c r="I60" i="48" s="1"/>
  <c r="D156" i="48" l="1"/>
  <c r="F16" i="28"/>
  <c r="X17" i="28" s="1"/>
  <c r="AB17" i="28" s="1"/>
  <c r="E17" i="28" s="1"/>
  <c r="D152" i="31"/>
  <c r="E14" i="42"/>
  <c r="I72" i="31"/>
  <c r="K178" i="37"/>
  <c r="O178" i="37"/>
  <c r="D178" i="37" s="1"/>
  <c r="F60" i="48"/>
  <c r="D119" i="48"/>
  <c r="Y16" i="28"/>
  <c r="AB16" i="28" l="1"/>
  <c r="W17" i="28"/>
  <c r="AA17" i="28" s="1"/>
  <c r="E16" i="42"/>
  <c r="D173" i="31"/>
  <c r="H76" i="31"/>
  <c r="H78" i="31"/>
  <c r="F78" i="31" s="1"/>
  <c r="I78" i="31" s="1"/>
  <c r="L188" i="31"/>
  <c r="L191" i="31" s="1"/>
  <c r="D191" i="31" s="1"/>
  <c r="L190" i="37"/>
  <c r="F70" i="37" s="1"/>
  <c r="L70" i="37" s="1"/>
  <c r="N122" i="48"/>
  <c r="L122" i="48"/>
  <c r="H64" i="48"/>
  <c r="M122" i="48"/>
  <c r="O122" i="48" l="1"/>
  <c r="D190" i="37"/>
  <c r="M176" i="31"/>
  <c r="L176" i="31"/>
  <c r="N176" i="31"/>
  <c r="D188" i="31"/>
  <c r="J70" i="37"/>
  <c r="L74" i="37"/>
  <c r="K122" i="48"/>
  <c r="F64" i="48" s="1"/>
  <c r="I64" i="48" s="1"/>
  <c r="I82" i="48" s="1"/>
  <c r="D136" i="48" s="1"/>
  <c r="H84" i="48" s="1"/>
  <c r="K176" i="31" l="1"/>
  <c r="O176" i="31"/>
  <c r="I76" i="37"/>
  <c r="F20" i="42" s="1"/>
  <c r="X18" i="28" s="1"/>
  <c r="X26" i="28" s="1"/>
  <c r="D122" i="48"/>
  <c r="L139" i="48"/>
  <c r="M139" i="48"/>
  <c r="N139" i="48"/>
  <c r="O139" i="48" l="1"/>
  <c r="L76" i="37"/>
  <c r="I70" i="37" s="1"/>
  <c r="I74" i="37" s="1"/>
  <c r="F18" i="42" s="1"/>
  <c r="D176" i="31"/>
  <c r="L198" i="31"/>
  <c r="F76" i="31" s="1"/>
  <c r="L76" i="31" s="1"/>
  <c r="K139" i="48"/>
  <c r="F84" i="48" s="1"/>
  <c r="I84" i="48" s="1"/>
  <c r="I86" i="48" s="1"/>
  <c r="I92" i="48" s="1"/>
  <c r="I94" i="48" s="1"/>
  <c r="D177" i="48" s="1"/>
  <c r="F17" i="42" l="1"/>
  <c r="F17" i="49"/>
  <c r="D198" i="31"/>
  <c r="J76" i="31"/>
  <c r="L80" i="31"/>
  <c r="D139" i="48"/>
  <c r="H100" i="48"/>
  <c r="F100" i="48" s="1"/>
  <c r="I100" i="48" s="1"/>
  <c r="I101" i="48" s="1"/>
  <c r="L103" i="48" s="1"/>
  <c r="I105" i="48" s="1"/>
  <c r="I11" i="44" s="1"/>
  <c r="H98" i="48"/>
  <c r="L180" i="48"/>
  <c r="M180" i="48"/>
  <c r="N180" i="48"/>
  <c r="I82" i="31" l="1"/>
  <c r="E20" i="42" s="1"/>
  <c r="L105" i="48"/>
  <c r="I99" i="48" s="1"/>
  <c r="I103" i="48" s="1"/>
  <c r="O180" i="48"/>
  <c r="K180" i="48"/>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L48" i="1" s="1"/>
  <c r="AL21" i="1"/>
  <c r="L82" i="31" l="1"/>
  <c r="I76" i="31" s="1"/>
  <c r="I80" i="31" s="1"/>
  <c r="E18" i="42" s="1"/>
  <c r="F16" i="49"/>
  <c r="L192" i="48"/>
  <c r="F98" i="48" s="1"/>
  <c r="L98" i="48" s="1"/>
  <c r="D180" i="48"/>
  <c r="H68" i="46"/>
  <c r="AL47" i="1"/>
  <c r="D192" i="48" l="1"/>
  <c r="J98" i="48"/>
  <c r="L102" i="48"/>
  <c r="I68" i="46"/>
  <c r="H66" i="46"/>
  <c r="I66" i="46" s="1"/>
  <c r="E6" i="49" l="1"/>
  <c r="I104" i="48"/>
  <c r="I10" i="44" s="1"/>
  <c r="K11" i="44" s="1"/>
  <c r="E7" i="49"/>
  <c r="E7" i="42"/>
  <c r="H12" i="46"/>
  <c r="I12" i="46" s="1"/>
  <c r="L12" i="46" s="1"/>
  <c r="L34" i="46" s="1"/>
  <c r="I34" i="46" s="1"/>
  <c r="F34" i="46" s="1"/>
  <c r="X11" i="28" l="1"/>
  <c r="W11" i="28" s="1"/>
  <c r="F8" i="28"/>
  <c r="X9" i="28" s="1"/>
  <c r="W9" i="28" s="1"/>
  <c r="S88" i="46"/>
  <c r="S99" i="46" s="1"/>
  <c r="H88" i="46" s="1"/>
  <c r="F21" i="49"/>
  <c r="F21" i="42"/>
  <c r="L104" i="48"/>
  <c r="I98" i="48" s="1"/>
  <c r="I102" i="48" s="1"/>
  <c r="E9" i="42" l="1"/>
  <c r="AB18" i="28"/>
  <c r="E9" i="49"/>
  <c r="AB11" i="28"/>
  <c r="AB9" i="28"/>
  <c r="E9" i="28" s="1"/>
  <c r="AA9" i="28" s="1"/>
  <c r="F10" i="28"/>
  <c r="E11" i="28" s="1"/>
  <c r="AA11" i="28" s="1"/>
  <c r="F88" i="46"/>
  <c r="I88" i="46" s="1"/>
  <c r="I90" i="46" s="1"/>
  <c r="AB19" i="28"/>
  <c r="F19" i="49"/>
  <c r="F19" i="42"/>
  <c r="F20" i="49"/>
  <c r="F18" i="28" l="1"/>
  <c r="X19" i="28" s="1"/>
  <c r="AD19" i="28" s="1"/>
  <c r="AE19" i="28" s="1"/>
  <c r="E8" i="49"/>
  <c r="E19" i="28"/>
  <c r="AB10" i="28"/>
  <c r="F18" i="49" l="1"/>
  <c r="W19" i="28"/>
  <c r="H38" i="46"/>
  <c r="I38" i="46" s="1"/>
  <c r="L38" i="46" s="1"/>
  <c r="L60" i="46" s="1"/>
  <c r="I60" i="46" s="1"/>
  <c r="D167" i="46" s="1"/>
  <c r="Y10" i="28"/>
  <c r="F60" i="46" l="1"/>
  <c r="L170" i="46"/>
  <c r="N170" i="46"/>
  <c r="M170" i="46"/>
  <c r="H64" i="46"/>
  <c r="AA10" i="28"/>
  <c r="F43" i="28" l="1"/>
  <c r="O170" i="46"/>
  <c r="K170" i="46"/>
  <c r="F64" i="46" s="1"/>
  <c r="I64" i="46" s="1"/>
  <c r="I82" i="46" s="1"/>
  <c r="D184" i="46" s="1"/>
  <c r="E13" i="42" l="1"/>
  <c r="F63" i="28"/>
  <c r="F45" i="28"/>
  <c r="E11" i="42"/>
  <c r="E13" i="49"/>
  <c r="E11" i="49"/>
  <c r="D170" i="46"/>
  <c r="L187" i="46"/>
  <c r="N187" i="46"/>
  <c r="M187" i="46"/>
  <c r="H84" i="46"/>
  <c r="F65" i="28" l="1"/>
  <c r="F48" i="28"/>
  <c r="AB48" i="28" s="1"/>
  <c r="O187" i="46"/>
  <c r="K187" i="46"/>
  <c r="F84" i="46" s="1"/>
  <c r="I84" i="46" s="1"/>
  <c r="I86" i="46" s="1"/>
  <c r="I92" i="46" s="1"/>
  <c r="I94" i="46" s="1"/>
  <c r="D201" i="46" s="1"/>
  <c r="F83" i="28" l="1"/>
  <c r="F85" i="28" s="1"/>
  <c r="F67" i="28"/>
  <c r="E15" i="42"/>
  <c r="E15" i="49"/>
  <c r="D187" i="46"/>
  <c r="M204" i="46"/>
  <c r="H98" i="46"/>
  <c r="L204" i="46"/>
  <c r="N204" i="46"/>
  <c r="E10" i="49" l="1"/>
  <c r="E17" i="42"/>
  <c r="E17" i="49"/>
  <c r="O204" i="46"/>
  <c r="K204" i="46"/>
  <c r="F98" i="46" s="1"/>
  <c r="I98" i="46" s="1"/>
  <c r="I100" i="46" s="1"/>
  <c r="I102" i="46" s="1"/>
  <c r="D204" i="46" l="1"/>
  <c r="E12" i="49"/>
  <c r="H108" i="46"/>
  <c r="F108" i="46" s="1"/>
  <c r="I108" i="46" s="1"/>
  <c r="I109" i="46" s="1"/>
  <c r="L111" i="46" s="1"/>
  <c r="D225" i="46"/>
  <c r="L240" i="46"/>
  <c r="L243" i="46" s="1"/>
  <c r="D243" i="46" s="1"/>
  <c r="H106" i="46"/>
  <c r="M228" i="46" l="1"/>
  <c r="N228" i="46"/>
  <c r="D240" i="46"/>
  <c r="L228" i="46"/>
  <c r="I113" i="46"/>
  <c r="I9" i="44" s="1"/>
  <c r="E14" i="49" l="1"/>
  <c r="L113" i="46"/>
  <c r="I107" i="46" s="1"/>
  <c r="I111" i="46" s="1"/>
  <c r="K228" i="46"/>
  <c r="O228" i="46"/>
  <c r="I15" i="44"/>
  <c r="I17" i="44" s="1"/>
  <c r="I19" i="44" s="1"/>
  <c r="D228" i="46" l="1"/>
  <c r="L250" i="46"/>
  <c r="F106" i="46" s="1"/>
  <c r="L106" i="46" s="1"/>
  <c r="D250" i="46" l="1"/>
  <c r="E16" i="49"/>
  <c r="J106" i="46"/>
  <c r="L110" i="46"/>
  <c r="I112" i="46" l="1"/>
  <c r="I8" i="44" s="1"/>
  <c r="E19" i="49" l="1"/>
  <c r="E19" i="42"/>
  <c r="E21" i="42"/>
  <c r="E23" i="42" s="1"/>
  <c r="E25" i="42" s="1"/>
  <c r="E27" i="42" s="1"/>
  <c r="E21" i="49"/>
  <c r="E23" i="49" s="1"/>
  <c r="E25" i="49" s="1"/>
  <c r="E27" i="49" s="1"/>
  <c r="L112" i="46"/>
  <c r="I106" i="46" s="1"/>
  <c r="I110" i="46" s="1"/>
  <c r="I14" i="44"/>
  <c r="I16" i="44" s="1"/>
  <c r="I18" i="44" s="1"/>
  <c r="K9" i="44"/>
  <c r="K15" i="44" s="1"/>
  <c r="K17" i="44" s="1"/>
  <c r="K19" i="44" s="1"/>
  <c r="AB13" i="28" l="1"/>
  <c r="E22" i="42"/>
  <c r="E24" i="42" s="1"/>
  <c r="E26" i="42" s="1"/>
  <c r="E20" i="49" l="1"/>
  <c r="E22" i="49" s="1"/>
  <c r="I19" i="49" s="1"/>
  <c r="E24" i="49" s="1"/>
  <c r="E26" i="49" s="1"/>
  <c r="AB27" i="28"/>
  <c r="E27" i="28" s="1"/>
  <c r="E41" i="28" s="1"/>
  <c r="E18" i="49"/>
  <c r="AB12" i="28" l="1"/>
  <c r="F12" i="28"/>
  <c r="X13" i="28" s="1"/>
  <c r="K44" i="51"/>
  <c r="D60" i="51" s="1"/>
  <c r="Q60" i="51" s="1"/>
  <c r="K50" i="51" s="1"/>
  <c r="AB29" i="28"/>
  <c r="AB31" i="28" s="1"/>
  <c r="AD12" i="28" l="1"/>
  <c r="AE12" i="28" s="1"/>
  <c r="AF26" i="28"/>
  <c r="X27" i="28"/>
  <c r="AD13" i="28"/>
  <c r="AE13" i="28" s="1"/>
  <c r="AB26" i="28"/>
  <c r="F26" i="28"/>
  <c r="AF25" i="28" s="1"/>
  <c r="F28" i="28" s="1"/>
  <c r="AE29" i="28"/>
  <c r="AA27" i="28"/>
  <c r="E61" i="28"/>
  <c r="R50" i="51"/>
  <c r="AB41" i="28"/>
  <c r="S25" i="51"/>
  <c r="K52" i="51"/>
  <c r="AH25" i="28" l="1"/>
  <c r="AB28" i="28" s="1"/>
  <c r="AB30" i="28" s="1"/>
  <c r="W27" i="28"/>
  <c r="X29" i="28"/>
  <c r="AD29" i="28" s="1"/>
  <c r="AD27" i="28"/>
  <c r="AE27" i="28" s="1"/>
  <c r="K54" i="51"/>
  <c r="S27" i="51"/>
  <c r="S29" i="51" s="1"/>
  <c r="R52" i="51"/>
  <c r="R54" i="51" s="1"/>
  <c r="AB43" i="28"/>
  <c r="AB45" i="28" s="1"/>
  <c r="X41" i="28"/>
  <c r="AA41" i="28"/>
  <c r="E83" i="28"/>
  <c r="F30" i="28"/>
  <c r="F33" i="28" s="1"/>
  <c r="X28" i="28"/>
  <c r="AA16" i="28"/>
  <c r="X31" i="28" l="1"/>
  <c r="W61" i="28"/>
  <c r="W41" i="28"/>
  <c r="AD41" i="28"/>
  <c r="AE41" i="28" s="1"/>
  <c r="X43" i="28"/>
  <c r="X61" i="28"/>
  <c r="AB61" i="28" s="1"/>
  <c r="Z18" i="28"/>
  <c r="X30" i="28"/>
  <c r="X40" i="28"/>
  <c r="AD31" i="28" l="1"/>
  <c r="AE31" i="28" s="1"/>
  <c r="X34" i="28"/>
  <c r="AB34" i="28" s="1"/>
  <c r="AB38" i="28" s="1"/>
  <c r="W83" i="28"/>
  <c r="W74" i="28"/>
  <c r="X45" i="28"/>
  <c r="X63" i="28"/>
  <c r="AB63" i="28" s="1"/>
  <c r="AD43" i="28"/>
  <c r="AE43" i="28" s="1"/>
  <c r="X33" i="28"/>
  <c r="W60" i="28"/>
  <c r="X60" i="28"/>
  <c r="X42" i="28"/>
  <c r="X62" i="28" s="1"/>
  <c r="Z26" i="28"/>
  <c r="AD26" i="28" s="1"/>
  <c r="X50" i="28" l="1"/>
  <c r="AB50" i="28" s="1"/>
  <c r="AB52" i="28" s="1"/>
  <c r="X65" i="28"/>
  <c r="AD45" i="28"/>
  <c r="AE45" i="28" s="1"/>
  <c r="X44" i="28"/>
  <c r="X64" i="28" s="1"/>
  <c r="Z28" i="28"/>
  <c r="Y26" i="28"/>
  <c r="Y40" i="28" s="1"/>
  <c r="AE26" i="28"/>
  <c r="Z40" i="28"/>
  <c r="AD18" i="28"/>
  <c r="AE18" i="28" s="1"/>
  <c r="X67" i="28" l="1"/>
  <c r="AB67" i="28" s="1"/>
  <c r="AB71" i="28" s="1"/>
  <c r="AB65" i="28"/>
  <c r="Y82" i="28"/>
  <c r="AA40" i="28"/>
  <c r="Z30" i="28"/>
  <c r="AD30" i="28" s="1"/>
  <c r="AE30" i="28" s="1"/>
  <c r="AD28" i="28"/>
  <c r="AE28" i="28" s="1"/>
  <c r="Y60" i="28"/>
  <c r="AA26" i="28"/>
  <c r="X49" i="28"/>
  <c r="AB49" i="28" s="1"/>
  <c r="Z42" i="28"/>
  <c r="Z62" i="28" s="1"/>
  <c r="Z60" i="28"/>
  <c r="F60" i="28"/>
  <c r="AD40" i="28"/>
  <c r="AE40" i="28" s="1"/>
  <c r="F42" i="28"/>
  <c r="F44" i="28" s="1"/>
  <c r="E60" i="28"/>
  <c r="X66" i="28"/>
  <c r="X82" i="28"/>
  <c r="X84" i="28" s="1"/>
  <c r="AB33" i="28" l="1"/>
  <c r="AB37" i="28" s="1"/>
  <c r="F64" i="28"/>
  <c r="F47" i="28"/>
  <c r="AB47" i="28" s="1"/>
  <c r="AB51" i="28" s="1"/>
  <c r="AB60" i="28"/>
  <c r="F62" i="28"/>
  <c r="AB62" i="28" s="1"/>
  <c r="AD42" i="28"/>
  <c r="AE42" i="28" s="1"/>
  <c r="Z44" i="28"/>
  <c r="Z64" i="28" s="1"/>
  <c r="Z82" i="28" s="1"/>
  <c r="F66" i="28" l="1"/>
  <c r="AB66" i="28" s="1"/>
  <c r="AB70" i="28" s="1"/>
  <c r="AB64" i="28"/>
  <c r="F82" i="28"/>
  <c r="AD44" i="28"/>
  <c r="AE44" i="28" s="1"/>
  <c r="AB82" i="28" l="1"/>
  <c r="F84" i="28"/>
  <c r="AB84" i="28" s="1"/>
  <c r="AB88" i="28" s="1"/>
  <c r="AB8" i="28"/>
  <c r="X74" i="28"/>
  <c r="AB74" i="28" s="1"/>
  <c r="X83" i="28" l="1"/>
  <c r="AB83" i="28" s="1"/>
  <c r="X76" i="28"/>
  <c r="X85" i="28" l="1"/>
  <c r="AB85" i="28" s="1"/>
  <c r="AB89"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thor>
  </authors>
  <commentList>
    <comment ref="Z12" authorId="0" shapeId="0" xr:uid="{00000000-0006-0000-0C00-000001000000}">
      <text>
        <r>
          <rPr>
            <sz val="9"/>
            <color indexed="81"/>
            <rFont val="MS P ゴシック"/>
            <family val="3"/>
            <charset val="128"/>
          </rPr>
          <t>調整箇所</t>
        </r>
      </text>
    </comment>
    <comment ref="Z13" authorId="0" shapeId="0" xr:uid="{00000000-0006-0000-0C00-000002000000}">
      <text>
        <r>
          <rPr>
            <sz val="9"/>
            <color indexed="81"/>
            <rFont val="MS P ゴシック"/>
            <family val="3"/>
            <charset val="128"/>
          </rPr>
          <t>調整箇所</t>
        </r>
      </text>
    </comment>
    <comment ref="Z18" authorId="0" shapeId="0" xr:uid="{00000000-0006-0000-0C00-000003000000}">
      <text>
        <r>
          <rPr>
            <sz val="9"/>
            <color indexed="81"/>
            <rFont val="MS P ゴシック"/>
            <family val="3"/>
            <charset val="128"/>
          </rPr>
          <t>調整箇所</t>
        </r>
      </text>
    </comment>
    <comment ref="Z19" authorId="0" shapeId="0" xr:uid="{00000000-0006-0000-0C00-000004000000}">
      <text>
        <r>
          <rPr>
            <sz val="9"/>
            <color indexed="81"/>
            <rFont val="MS P ゴシック"/>
            <family val="3"/>
            <charset val="128"/>
          </rPr>
          <t>調整箇所</t>
        </r>
      </text>
    </comment>
    <comment ref="Z24" authorId="0" shapeId="0" xr:uid="{00000000-0006-0000-0C00-000005000000}">
      <text>
        <r>
          <rPr>
            <sz val="9"/>
            <color indexed="81"/>
            <rFont val="MS P ゴシック"/>
            <family val="3"/>
            <charset val="128"/>
          </rPr>
          <t>調整箇所</t>
        </r>
      </text>
    </comment>
    <comment ref="Z25" authorId="0" shapeId="0" xr:uid="{00000000-0006-0000-0C00-000006000000}">
      <text>
        <r>
          <rPr>
            <sz val="9"/>
            <color indexed="81"/>
            <rFont val="MS P ゴシック"/>
            <family val="3"/>
            <charset val="128"/>
          </rPr>
          <t>調整箇所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P2950</author>
  </authors>
  <commentList>
    <comment ref="E12" authorId="0" shapeId="0" xr:uid="{00000000-0006-0000-2200-000001000000}">
      <text>
        <r>
          <rPr>
            <sz val="9"/>
            <color indexed="81"/>
            <rFont val="ＭＳ Ｐゴシック"/>
            <family val="3"/>
            <charset val="128"/>
          </rPr>
          <t>【入力】</t>
        </r>
      </text>
    </comment>
    <comment ref="N12" authorId="0" shapeId="0" xr:uid="{00000000-0006-0000-2200-000002000000}">
      <text>
        <r>
          <rPr>
            <sz val="9"/>
            <color indexed="81"/>
            <rFont val="ＭＳ Ｐゴシック"/>
            <family val="3"/>
            <charset val="128"/>
          </rPr>
          <t>【入力】</t>
        </r>
      </text>
    </comment>
    <comment ref="E13" authorId="0" shapeId="0" xr:uid="{00000000-0006-0000-2200-000003000000}">
      <text>
        <r>
          <rPr>
            <sz val="9"/>
            <color indexed="81"/>
            <rFont val="ＭＳ Ｐゴシック"/>
            <family val="3"/>
            <charset val="128"/>
          </rPr>
          <t>【入力】
柱長(8.00)-引込開閉器盤～基礎下(0.90+1.15+1.17)</t>
        </r>
      </text>
    </comment>
    <comment ref="E17" authorId="0" shapeId="0" xr:uid="{00000000-0006-0000-2200-000004000000}">
      <text>
        <r>
          <rPr>
            <sz val="9"/>
            <color indexed="81"/>
            <rFont val="ＭＳ Ｐゴシック"/>
            <family val="3"/>
            <charset val="128"/>
          </rPr>
          <t>【入力】</t>
        </r>
      </text>
    </comment>
    <comment ref="N17" authorId="0" shapeId="0" xr:uid="{00000000-0006-0000-2200-000005000000}">
      <text>
        <r>
          <rPr>
            <sz val="9"/>
            <color indexed="81"/>
            <rFont val="ＭＳ Ｐゴシック"/>
            <family val="3"/>
            <charset val="128"/>
          </rPr>
          <t>【入力】</t>
        </r>
      </text>
    </comment>
    <comment ref="E27" authorId="0" shapeId="0" xr:uid="{00000000-0006-0000-2200-000006000000}">
      <text>
        <r>
          <rPr>
            <sz val="9"/>
            <color indexed="81"/>
            <rFont val="ＭＳ Ｐゴシック"/>
            <family val="3"/>
            <charset val="128"/>
          </rPr>
          <t>【入力】
引込開閉器盤下(1.15)+基礎段差(0.20)+柱～制御盤(0.50)</t>
        </r>
      </text>
    </comment>
    <comment ref="E41" authorId="0" shapeId="0" xr:uid="{00000000-0006-0000-2200-000007000000}">
      <text>
        <r>
          <rPr>
            <sz val="9"/>
            <color indexed="81"/>
            <rFont val="ＭＳ Ｐゴシック"/>
            <family val="3"/>
            <charset val="128"/>
          </rPr>
          <t>【入力】</t>
        </r>
      </text>
    </comment>
    <comment ref="W41" authorId="0" shapeId="0" xr:uid="{00000000-0006-0000-2200-000008000000}">
      <text>
        <r>
          <rPr>
            <sz val="9"/>
            <color indexed="81"/>
            <rFont val="ＭＳ Ｐゴシック"/>
            <family val="3"/>
            <charset val="128"/>
          </rPr>
          <t>【入力】</t>
        </r>
      </text>
    </comment>
    <comment ref="AF41" authorId="0" shapeId="0" xr:uid="{00000000-0006-0000-2200-000009000000}">
      <text>
        <r>
          <rPr>
            <sz val="9"/>
            <color indexed="81"/>
            <rFont val="ＭＳ Ｐゴシック"/>
            <family val="3"/>
            <charset val="128"/>
          </rPr>
          <t>【入力】</t>
        </r>
      </text>
    </comment>
    <comment ref="E42" authorId="0" shapeId="0" xr:uid="{00000000-0006-0000-2200-00000A000000}">
      <text>
        <r>
          <rPr>
            <sz val="9"/>
            <color indexed="81"/>
            <rFont val="ＭＳ Ｐゴシック"/>
            <family val="3"/>
            <charset val="128"/>
          </rPr>
          <t>【入力】</t>
        </r>
      </text>
    </comment>
    <comment ref="E48" authorId="0" shapeId="0" xr:uid="{00000000-0006-0000-2200-00000B000000}">
      <text>
        <r>
          <rPr>
            <sz val="9"/>
            <color indexed="81"/>
            <rFont val="ＭＳ Ｐゴシック"/>
            <family val="3"/>
            <charset val="128"/>
          </rPr>
          <t>【入力】</t>
        </r>
      </text>
    </comment>
    <comment ref="AF48" authorId="0" shapeId="0" xr:uid="{00000000-0006-0000-2200-00000C000000}">
      <text>
        <r>
          <rPr>
            <sz val="9"/>
            <color indexed="81"/>
            <rFont val="ＭＳ Ｐゴシック"/>
            <family val="3"/>
            <charset val="128"/>
          </rPr>
          <t>【入力】</t>
        </r>
      </text>
    </comment>
    <comment ref="E52" authorId="0" shapeId="0" xr:uid="{00000000-0006-0000-2200-00000D000000}">
      <text>
        <r>
          <rPr>
            <sz val="9"/>
            <color indexed="81"/>
            <rFont val="ＭＳ Ｐゴシック"/>
            <family val="3"/>
            <charset val="128"/>
          </rPr>
          <t>【入力】</t>
        </r>
      </text>
    </comment>
    <comment ref="N52" authorId="0" shapeId="0" xr:uid="{00000000-0006-0000-2200-00000E000000}">
      <text>
        <r>
          <rPr>
            <sz val="9"/>
            <color indexed="81"/>
            <rFont val="ＭＳ Ｐゴシック"/>
            <family val="3"/>
            <charset val="128"/>
          </rPr>
          <t>【入力】</t>
        </r>
      </text>
    </comment>
    <comment ref="AF52" authorId="0" shapeId="0" xr:uid="{00000000-0006-0000-2200-00000F000000}">
      <text>
        <r>
          <rPr>
            <sz val="9"/>
            <color indexed="81"/>
            <rFont val="ＭＳ Ｐゴシック"/>
            <family val="3"/>
            <charset val="128"/>
          </rPr>
          <t>【入力】</t>
        </r>
      </text>
    </comment>
    <comment ref="E57" authorId="0" shapeId="0" xr:uid="{00000000-0006-0000-2200-000010000000}">
      <text>
        <r>
          <rPr>
            <sz val="9"/>
            <color indexed="81"/>
            <rFont val="ＭＳ Ｐゴシック"/>
            <family val="3"/>
            <charset val="128"/>
          </rPr>
          <t>【入力】
MH深さ(6.612)-1.0-予旋回槽～2F直管(0.292+0.33)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P2950</author>
  </authors>
  <commentList>
    <comment ref="E12" authorId="0" shapeId="0" xr:uid="{00000000-0006-0000-2B00-000001000000}">
      <text>
        <r>
          <rPr>
            <sz val="9"/>
            <color indexed="81"/>
            <rFont val="ＭＳ Ｐゴシック"/>
            <family val="3"/>
            <charset val="128"/>
          </rPr>
          <t>【入力】</t>
        </r>
      </text>
    </comment>
    <comment ref="N12" authorId="0" shapeId="0" xr:uid="{00000000-0006-0000-2B00-000002000000}">
      <text>
        <r>
          <rPr>
            <sz val="9"/>
            <color indexed="81"/>
            <rFont val="ＭＳ Ｐゴシック"/>
            <family val="3"/>
            <charset val="128"/>
          </rPr>
          <t>【入力】</t>
        </r>
      </text>
    </comment>
    <comment ref="E13" authorId="0" shapeId="0" xr:uid="{00000000-0006-0000-2B00-000003000000}">
      <text>
        <r>
          <rPr>
            <sz val="9"/>
            <color indexed="81"/>
            <rFont val="ＭＳ Ｐゴシック"/>
            <family val="3"/>
            <charset val="128"/>
          </rPr>
          <t>【入力】
柱長(8.00)-引込開閉器盤～基礎下(0.90+1.15+1.17)</t>
        </r>
      </text>
    </comment>
    <comment ref="E17" authorId="0" shapeId="0" xr:uid="{00000000-0006-0000-2B00-000004000000}">
      <text>
        <r>
          <rPr>
            <sz val="9"/>
            <color indexed="81"/>
            <rFont val="ＭＳ Ｐゴシック"/>
            <family val="3"/>
            <charset val="128"/>
          </rPr>
          <t>【入力】</t>
        </r>
      </text>
    </comment>
    <comment ref="N17" authorId="0" shapeId="0" xr:uid="{00000000-0006-0000-2B00-000005000000}">
      <text>
        <r>
          <rPr>
            <sz val="9"/>
            <color indexed="81"/>
            <rFont val="ＭＳ Ｐゴシック"/>
            <family val="3"/>
            <charset val="128"/>
          </rPr>
          <t>【入力】</t>
        </r>
      </text>
    </comment>
    <comment ref="E27" authorId="0" shapeId="0" xr:uid="{00000000-0006-0000-2B00-000006000000}">
      <text>
        <r>
          <rPr>
            <sz val="9"/>
            <color indexed="81"/>
            <rFont val="ＭＳ Ｐゴシック"/>
            <family val="3"/>
            <charset val="128"/>
          </rPr>
          <t>【入力】
引込開閉器盤下(1.15)+基礎段差(0.20)+柱～制御盤(0.50)</t>
        </r>
      </text>
    </comment>
    <comment ref="E41" authorId="0" shapeId="0" xr:uid="{00000000-0006-0000-2B00-000007000000}">
      <text>
        <r>
          <rPr>
            <sz val="9"/>
            <color indexed="81"/>
            <rFont val="ＭＳ Ｐゴシック"/>
            <family val="3"/>
            <charset val="128"/>
          </rPr>
          <t>【入力】</t>
        </r>
      </text>
    </comment>
    <comment ref="W41" authorId="0" shapeId="0" xr:uid="{00000000-0006-0000-2B00-000008000000}">
      <text>
        <r>
          <rPr>
            <sz val="9"/>
            <color indexed="81"/>
            <rFont val="ＭＳ Ｐゴシック"/>
            <family val="3"/>
            <charset val="128"/>
          </rPr>
          <t>【入力】</t>
        </r>
      </text>
    </comment>
    <comment ref="AF41" authorId="0" shapeId="0" xr:uid="{00000000-0006-0000-2B00-000009000000}">
      <text>
        <r>
          <rPr>
            <sz val="9"/>
            <color indexed="81"/>
            <rFont val="ＭＳ Ｐゴシック"/>
            <family val="3"/>
            <charset val="128"/>
          </rPr>
          <t>【入力】</t>
        </r>
      </text>
    </comment>
    <comment ref="E42" authorId="0" shapeId="0" xr:uid="{00000000-0006-0000-2B00-00000A000000}">
      <text>
        <r>
          <rPr>
            <sz val="9"/>
            <color indexed="81"/>
            <rFont val="ＭＳ Ｐゴシック"/>
            <family val="3"/>
            <charset val="128"/>
          </rPr>
          <t>【入力】</t>
        </r>
      </text>
    </comment>
    <comment ref="E48" authorId="0" shapeId="0" xr:uid="{00000000-0006-0000-2B00-00000B000000}">
      <text>
        <r>
          <rPr>
            <sz val="9"/>
            <color indexed="81"/>
            <rFont val="ＭＳ Ｐゴシック"/>
            <family val="3"/>
            <charset val="128"/>
          </rPr>
          <t>【入力】</t>
        </r>
      </text>
    </comment>
    <comment ref="AF48" authorId="0" shapeId="0" xr:uid="{00000000-0006-0000-2B00-00000C000000}">
      <text>
        <r>
          <rPr>
            <sz val="9"/>
            <color indexed="81"/>
            <rFont val="ＭＳ Ｐゴシック"/>
            <family val="3"/>
            <charset val="128"/>
          </rPr>
          <t>【入力】</t>
        </r>
      </text>
    </comment>
    <comment ref="E52" authorId="0" shapeId="0" xr:uid="{00000000-0006-0000-2B00-00000D000000}">
      <text>
        <r>
          <rPr>
            <sz val="9"/>
            <color indexed="81"/>
            <rFont val="ＭＳ Ｐゴシック"/>
            <family val="3"/>
            <charset val="128"/>
          </rPr>
          <t>【入力】</t>
        </r>
      </text>
    </comment>
    <comment ref="N52" authorId="0" shapeId="0" xr:uid="{00000000-0006-0000-2B00-00000E000000}">
      <text>
        <r>
          <rPr>
            <sz val="9"/>
            <color indexed="81"/>
            <rFont val="ＭＳ Ｐゴシック"/>
            <family val="3"/>
            <charset val="128"/>
          </rPr>
          <t>【入力】</t>
        </r>
      </text>
    </comment>
    <comment ref="AF52" authorId="0" shapeId="0" xr:uid="{00000000-0006-0000-2B00-00000F000000}">
      <text>
        <r>
          <rPr>
            <sz val="9"/>
            <color indexed="81"/>
            <rFont val="ＭＳ Ｐゴシック"/>
            <family val="3"/>
            <charset val="128"/>
          </rPr>
          <t>【入力】</t>
        </r>
      </text>
    </comment>
    <comment ref="E57" authorId="0" shapeId="0" xr:uid="{00000000-0006-0000-2B00-000010000000}">
      <text>
        <r>
          <rPr>
            <sz val="9"/>
            <color indexed="81"/>
            <rFont val="ＭＳ Ｐゴシック"/>
            <family val="3"/>
            <charset val="128"/>
          </rPr>
          <t>【入力】
MH深さ(4.805)-1.0-予旋回槽～2F直管(2.298
)</t>
        </r>
      </text>
    </comment>
  </commentList>
</comments>
</file>

<file path=xl/sharedStrings.xml><?xml version="1.0" encoding="utf-8"?>
<sst xmlns="http://schemas.openxmlformats.org/spreadsheetml/2006/main" count="3871" uniqueCount="1170">
  <si>
    <t>機械設備明細書</t>
    <rPh sb="0" eb="2">
      <t>キカイ</t>
    </rPh>
    <rPh sb="2" eb="4">
      <t>セツビ</t>
    </rPh>
    <rPh sb="4" eb="7">
      <t>メイサイショ</t>
    </rPh>
    <phoneticPr fontId="3"/>
  </si>
  <si>
    <t>形状・寸法</t>
    <rPh sb="0" eb="2">
      <t>ケイジョウ</t>
    </rPh>
    <rPh sb="3" eb="5">
      <t>スンポウ</t>
    </rPh>
    <phoneticPr fontId="3"/>
  </si>
  <si>
    <t>数量</t>
    <rPh sb="0" eb="2">
      <t>スウリョウ</t>
    </rPh>
    <phoneticPr fontId="3"/>
  </si>
  <si>
    <t>単位</t>
    <rPh sb="0" eb="2">
      <t>タンイ</t>
    </rPh>
    <phoneticPr fontId="3"/>
  </si>
  <si>
    <t>数　量</t>
    <rPh sb="0" eb="1">
      <t>カズ</t>
    </rPh>
    <rPh sb="2" eb="3">
      <t>リョウ</t>
    </rPh>
    <phoneticPr fontId="3"/>
  </si>
  <si>
    <t>種　　目</t>
    <rPh sb="0" eb="1">
      <t>シュ</t>
    </rPh>
    <rPh sb="3" eb="4">
      <t>メ</t>
    </rPh>
    <phoneticPr fontId="3"/>
  </si>
  <si>
    <t>単　価</t>
    <rPh sb="0" eb="1">
      <t>タン</t>
    </rPh>
    <rPh sb="2" eb="3">
      <t>アタイ</t>
    </rPh>
    <phoneticPr fontId="3"/>
  </si>
  <si>
    <t>金　額</t>
    <rPh sb="0" eb="1">
      <t>キン</t>
    </rPh>
    <rPh sb="2" eb="3">
      <t>ガク</t>
    </rPh>
    <phoneticPr fontId="3"/>
  </si>
  <si>
    <t>摘　　要</t>
    <rPh sb="0" eb="1">
      <t>テキ</t>
    </rPh>
    <rPh sb="3" eb="4">
      <t>ヨウ</t>
    </rPh>
    <phoneticPr fontId="3"/>
  </si>
  <si>
    <t>上段：当初
下段：変更</t>
    <rPh sb="0" eb="2">
      <t>ジョウダン</t>
    </rPh>
    <rPh sb="3" eb="5">
      <t>トウショ</t>
    </rPh>
    <rPh sb="6" eb="8">
      <t>ゲダン</t>
    </rPh>
    <rPh sb="9" eb="11">
      <t>ヘンコウ</t>
    </rPh>
    <phoneticPr fontId="3"/>
  </si>
  <si>
    <t>機器費</t>
    <rPh sb="0" eb="2">
      <t>キキ</t>
    </rPh>
    <rPh sb="2" eb="3">
      <t>ヒ</t>
    </rPh>
    <phoneticPr fontId="3"/>
  </si>
  <si>
    <t>計</t>
    <rPh sb="0" eb="1">
      <t>ケイ</t>
    </rPh>
    <phoneticPr fontId="3"/>
  </si>
  <si>
    <t>水中汚水汚物ポンプ</t>
    <rPh sb="0" eb="2">
      <t>スイチュウ</t>
    </rPh>
    <rPh sb="2" eb="4">
      <t>オスイ</t>
    </rPh>
    <rPh sb="4" eb="6">
      <t>オブツ</t>
    </rPh>
    <phoneticPr fontId="3"/>
  </si>
  <si>
    <t>予旋回槽</t>
    <rPh sb="0" eb="1">
      <t>ヨ</t>
    </rPh>
    <rPh sb="1" eb="3">
      <t>センカイ</t>
    </rPh>
    <rPh sb="3" eb="4">
      <t>ソウ</t>
    </rPh>
    <phoneticPr fontId="3"/>
  </si>
  <si>
    <t>ガイドパイプ</t>
    <phoneticPr fontId="3"/>
  </si>
  <si>
    <t>流入バッフル</t>
    <rPh sb="0" eb="2">
      <t>リュウニュウ</t>
    </rPh>
    <phoneticPr fontId="3"/>
  </si>
  <si>
    <t>台</t>
    <rPh sb="0" eb="1">
      <t>ダイ</t>
    </rPh>
    <phoneticPr fontId="3"/>
  </si>
  <si>
    <t>ｍ</t>
    <phoneticPr fontId="3"/>
  </si>
  <si>
    <t>組</t>
    <rPh sb="0" eb="1">
      <t>クミ</t>
    </rPh>
    <phoneticPr fontId="3"/>
  </si>
  <si>
    <t>弁　類</t>
    <rPh sb="0" eb="1">
      <t>ベン</t>
    </rPh>
    <rPh sb="2" eb="3">
      <t>ルイ</t>
    </rPh>
    <phoneticPr fontId="3"/>
  </si>
  <si>
    <t>個</t>
    <rPh sb="0" eb="1">
      <t>コ</t>
    </rPh>
    <phoneticPr fontId="3"/>
  </si>
  <si>
    <t>配管資材</t>
    <rPh sb="0" eb="2">
      <t>ハイカン</t>
    </rPh>
    <rPh sb="2" eb="4">
      <t>シザイ</t>
    </rPh>
    <phoneticPr fontId="3"/>
  </si>
  <si>
    <t>本</t>
    <rPh sb="0" eb="1">
      <t>ホン</t>
    </rPh>
    <phoneticPr fontId="3"/>
  </si>
  <si>
    <t>一般労務費</t>
    <rPh sb="0" eb="2">
      <t>イッパン</t>
    </rPh>
    <rPh sb="2" eb="4">
      <t>ロウム</t>
    </rPh>
    <rPh sb="4" eb="5">
      <t>ヒ</t>
    </rPh>
    <phoneticPr fontId="3"/>
  </si>
  <si>
    <t>普通作業員</t>
    <rPh sb="0" eb="2">
      <t>フツウ</t>
    </rPh>
    <rPh sb="2" eb="5">
      <t>サギョウイン</t>
    </rPh>
    <phoneticPr fontId="3"/>
  </si>
  <si>
    <t>配管工</t>
    <rPh sb="0" eb="3">
      <t>ハイカンコウ</t>
    </rPh>
    <phoneticPr fontId="3"/>
  </si>
  <si>
    <t>設備機械工</t>
    <rPh sb="0" eb="2">
      <t>セツビ</t>
    </rPh>
    <rPh sb="2" eb="4">
      <t>キカイ</t>
    </rPh>
    <rPh sb="4" eb="5">
      <t>コウ</t>
    </rPh>
    <phoneticPr fontId="3"/>
  </si>
  <si>
    <t>人</t>
    <rPh sb="0" eb="1">
      <t>ニン</t>
    </rPh>
    <phoneticPr fontId="3"/>
  </si>
  <si>
    <t>労務費集計表(機械設備工)</t>
    <rPh sb="0" eb="3">
      <t>ロウムヒ</t>
    </rPh>
    <rPh sb="3" eb="6">
      <t>シュウケイヒョウ</t>
    </rPh>
    <rPh sb="7" eb="9">
      <t>キカイ</t>
    </rPh>
    <rPh sb="9" eb="11">
      <t>セツビ</t>
    </rPh>
    <rPh sb="11" eb="12">
      <t>コウ</t>
    </rPh>
    <phoneticPr fontId="3"/>
  </si>
  <si>
    <t>機械設備据付労務費</t>
    <rPh sb="0" eb="2">
      <t>キカイ</t>
    </rPh>
    <rPh sb="2" eb="4">
      <t>セツビ</t>
    </rPh>
    <rPh sb="4" eb="6">
      <t>スエツケ</t>
    </rPh>
    <rPh sb="6" eb="8">
      <t>ロウム</t>
    </rPh>
    <rPh sb="8" eb="9">
      <t>ヒ</t>
    </rPh>
    <phoneticPr fontId="3"/>
  </si>
  <si>
    <t>機械設備据付工</t>
    <rPh sb="0" eb="2">
      <t>キカイ</t>
    </rPh>
    <rPh sb="2" eb="4">
      <t>セツビ</t>
    </rPh>
    <rPh sb="4" eb="6">
      <t>スエツケ</t>
    </rPh>
    <rPh sb="6" eb="7">
      <t>コウ</t>
    </rPh>
    <phoneticPr fontId="3"/>
  </si>
  <si>
    <t>複合工費</t>
    <rPh sb="0" eb="2">
      <t>フクゴウ</t>
    </rPh>
    <rPh sb="2" eb="4">
      <t>コウヒ</t>
    </rPh>
    <phoneticPr fontId="3"/>
  </si>
  <si>
    <t>モルタル工
予旋回槽</t>
    <rPh sb="4" eb="5">
      <t>コウ</t>
    </rPh>
    <rPh sb="6" eb="7">
      <t>ヨ</t>
    </rPh>
    <rPh sb="7" eb="9">
      <t>センカイ</t>
    </rPh>
    <rPh sb="9" eb="10">
      <t>ソウ</t>
    </rPh>
    <phoneticPr fontId="3"/>
  </si>
  <si>
    <t>配合日1：2
18N/㎜2以上</t>
    <rPh sb="0" eb="2">
      <t>ハイゴウ</t>
    </rPh>
    <rPh sb="2" eb="3">
      <t>ヒ</t>
    </rPh>
    <rPh sb="13" eb="15">
      <t>イジョウ</t>
    </rPh>
    <phoneticPr fontId="3"/>
  </si>
  <si>
    <t>ポリエチレン管融着工</t>
    <rPh sb="6" eb="7">
      <t>カン</t>
    </rPh>
    <rPh sb="7" eb="9">
      <t>ユウチャク</t>
    </rPh>
    <rPh sb="9" eb="10">
      <t>コウ</t>
    </rPh>
    <phoneticPr fontId="3"/>
  </si>
  <si>
    <t>箇所</t>
    <rPh sb="0" eb="2">
      <t>カショ</t>
    </rPh>
    <phoneticPr fontId="3"/>
  </si>
  <si>
    <t>削孔費</t>
    <rPh sb="0" eb="2">
      <t>サッコウ</t>
    </rPh>
    <rPh sb="2" eb="3">
      <t>ヒ</t>
    </rPh>
    <phoneticPr fontId="3"/>
  </si>
  <si>
    <t>洗浄工</t>
    <rPh sb="0" eb="2">
      <t>センジョウ</t>
    </rPh>
    <rPh sb="2" eb="3">
      <t>コウ</t>
    </rPh>
    <phoneticPr fontId="3"/>
  </si>
  <si>
    <t>3号人孔</t>
    <rPh sb="1" eb="2">
      <t>ゴウ</t>
    </rPh>
    <rPh sb="2" eb="4">
      <t>ジンコウ</t>
    </rPh>
    <phoneticPr fontId="3"/>
  </si>
  <si>
    <t>建物/積資平均</t>
    <rPh sb="0" eb="2">
      <t>タテモノ</t>
    </rPh>
    <rPh sb="3" eb="4">
      <t>ツモル</t>
    </rPh>
    <rPh sb="4" eb="5">
      <t>シ</t>
    </rPh>
    <rPh sb="5" eb="7">
      <t>ヘイキン</t>
    </rPh>
    <phoneticPr fontId="3"/>
  </si>
  <si>
    <t>m2</t>
    <phoneticPr fontId="3"/>
  </si>
  <si>
    <t>m3</t>
    <phoneticPr fontId="3"/>
  </si>
  <si>
    <t>安全費</t>
    <rPh sb="0" eb="2">
      <t>アンゼン</t>
    </rPh>
    <rPh sb="2" eb="3">
      <t>ヒ</t>
    </rPh>
    <phoneticPr fontId="3"/>
  </si>
  <si>
    <t>交通誘導警備員B</t>
    <rPh sb="0" eb="2">
      <t>コウツウ</t>
    </rPh>
    <rPh sb="2" eb="4">
      <t>ユウドウ</t>
    </rPh>
    <rPh sb="4" eb="6">
      <t>ケイビ</t>
    </rPh>
    <rPh sb="6" eb="7">
      <t>イン</t>
    </rPh>
    <phoneticPr fontId="3"/>
  </si>
  <si>
    <t>積上げ安全費</t>
    <rPh sb="0" eb="2">
      <t>ツミア</t>
    </rPh>
    <rPh sb="3" eb="5">
      <t>アンゼン</t>
    </rPh>
    <rPh sb="5" eb="6">
      <t>ヒ</t>
    </rPh>
    <phoneticPr fontId="3"/>
  </si>
  <si>
    <t>換気設備工</t>
    <rPh sb="0" eb="2">
      <t>カンキ</t>
    </rPh>
    <rPh sb="2" eb="4">
      <t>セツビ</t>
    </rPh>
    <rPh sb="4" eb="5">
      <t>コウ</t>
    </rPh>
    <phoneticPr fontId="3"/>
  </si>
  <si>
    <t>軸流式ファン　50/60m3/min
ガス検知器含む</t>
    <rPh sb="0" eb="1">
      <t>ジク</t>
    </rPh>
    <rPh sb="1" eb="2">
      <t>リュウ</t>
    </rPh>
    <rPh sb="2" eb="3">
      <t>シキ</t>
    </rPh>
    <rPh sb="21" eb="23">
      <t>ケンチ</t>
    </rPh>
    <rPh sb="23" eb="24">
      <t>キ</t>
    </rPh>
    <rPh sb="24" eb="25">
      <t>フク</t>
    </rPh>
    <phoneticPr fontId="3"/>
  </si>
  <si>
    <t>日</t>
    <rPh sb="0" eb="1">
      <t>ニチ</t>
    </rPh>
    <phoneticPr fontId="3"/>
  </si>
  <si>
    <t>補完率</t>
    <rPh sb="0" eb="2">
      <t>ホカン</t>
    </rPh>
    <rPh sb="2" eb="3">
      <t>リツ</t>
    </rPh>
    <phoneticPr fontId="3"/>
  </si>
  <si>
    <t>設計数量</t>
    <rPh sb="0" eb="2">
      <t>セッケイ</t>
    </rPh>
    <rPh sb="2" eb="4">
      <t>スウリョウ</t>
    </rPh>
    <phoneticPr fontId="3"/>
  </si>
  <si>
    <t>単位重量</t>
    <rPh sb="0" eb="2">
      <t>タンイ</t>
    </rPh>
    <rPh sb="2" eb="4">
      <t>ジュウリョウ</t>
    </rPh>
    <phoneticPr fontId="3"/>
  </si>
  <si>
    <t>設計重量</t>
    <rPh sb="0" eb="2">
      <t>セッケイ</t>
    </rPh>
    <rPh sb="2" eb="4">
      <t>ジュウリョウ</t>
    </rPh>
    <phoneticPr fontId="3"/>
  </si>
  <si>
    <t>人工数(人)</t>
    <rPh sb="0" eb="2">
      <t>ジンコウ</t>
    </rPh>
    <rPh sb="2" eb="3">
      <t>スウ</t>
    </rPh>
    <rPh sb="4" eb="5">
      <t>ニン</t>
    </rPh>
    <phoneticPr fontId="3"/>
  </si>
  <si>
    <t>(ｍ)</t>
    <phoneticPr fontId="3"/>
  </si>
  <si>
    <t>(kg/m)</t>
    <phoneticPr fontId="3"/>
  </si>
  <si>
    <t>(kg)</t>
    <phoneticPr fontId="3"/>
  </si>
  <si>
    <r>
      <t>歩掛</t>
    </r>
    <r>
      <rPr>
        <sz val="8"/>
        <color theme="1"/>
        <rFont val="游ゴシック"/>
        <family val="3"/>
        <charset val="128"/>
        <scheme val="minor"/>
      </rPr>
      <t>(人/m)</t>
    </r>
    <rPh sb="0" eb="2">
      <t>ブガカリ</t>
    </rPh>
    <rPh sb="3" eb="4">
      <t>ニン</t>
    </rPh>
    <phoneticPr fontId="3"/>
  </si>
  <si>
    <r>
      <t>人工数</t>
    </r>
    <r>
      <rPr>
        <sz val="8"/>
        <color theme="1"/>
        <rFont val="游ゴシック"/>
        <family val="3"/>
        <charset val="128"/>
        <scheme val="minor"/>
      </rPr>
      <t>(人)</t>
    </r>
    <rPh sb="0" eb="2">
      <t>ジンコウ</t>
    </rPh>
    <rPh sb="2" eb="3">
      <t>スウ</t>
    </rPh>
    <rPh sb="4" eb="5">
      <t>ニン</t>
    </rPh>
    <phoneticPr fontId="3"/>
  </si>
  <si>
    <t>小配管据付工　（ステンレス鋼鋼管）</t>
    <rPh sb="0" eb="3">
      <t>ショウハイカン</t>
    </rPh>
    <rPh sb="3" eb="5">
      <t>スエツケ</t>
    </rPh>
    <rPh sb="5" eb="6">
      <t>コウ</t>
    </rPh>
    <rPh sb="13" eb="14">
      <t>コウ</t>
    </rPh>
    <rPh sb="14" eb="16">
      <t>コウカン</t>
    </rPh>
    <phoneticPr fontId="3"/>
  </si>
  <si>
    <t>口　径</t>
    <rPh sb="0" eb="1">
      <t>クチ</t>
    </rPh>
    <rPh sb="2" eb="3">
      <t>ケイ</t>
    </rPh>
    <phoneticPr fontId="3"/>
  </si>
  <si>
    <t>50A</t>
    <phoneticPr fontId="3"/>
  </si>
  <si>
    <t>65A</t>
    <phoneticPr fontId="3"/>
  </si>
  <si>
    <t>80A</t>
    <phoneticPr fontId="3"/>
  </si>
  <si>
    <t>100A</t>
    <phoneticPr fontId="3"/>
  </si>
  <si>
    <t>150A</t>
    <phoneticPr fontId="3"/>
  </si>
  <si>
    <t>再使用しない構造物</t>
    <rPh sb="0" eb="1">
      <t>サイ</t>
    </rPh>
    <rPh sb="1" eb="3">
      <t>シヨウ</t>
    </rPh>
    <rPh sb="6" eb="9">
      <t>コウゾウブツ</t>
    </rPh>
    <phoneticPr fontId="3"/>
  </si>
  <si>
    <t>小配管撤去工　（ステンレス鋼鋼管）</t>
    <rPh sb="0" eb="3">
      <t>ショウハイカン</t>
    </rPh>
    <rPh sb="3" eb="5">
      <t>テッキョ</t>
    </rPh>
    <rPh sb="5" eb="6">
      <t>コウ</t>
    </rPh>
    <rPh sb="13" eb="14">
      <t>コウ</t>
    </rPh>
    <rPh sb="14" eb="16">
      <t>コウカン</t>
    </rPh>
    <phoneticPr fontId="3"/>
  </si>
  <si>
    <t>機器等撤去工</t>
    <rPh sb="0" eb="2">
      <t>キキ</t>
    </rPh>
    <rPh sb="2" eb="3">
      <t>トウ</t>
    </rPh>
    <rPh sb="3" eb="5">
      <t>テッキョ</t>
    </rPh>
    <rPh sb="5" eb="6">
      <t>コウ</t>
    </rPh>
    <phoneticPr fontId="3"/>
  </si>
  <si>
    <t>機器名称</t>
    <rPh sb="0" eb="2">
      <t>キキ</t>
    </rPh>
    <rPh sb="2" eb="4">
      <t>メイショウ</t>
    </rPh>
    <phoneticPr fontId="3"/>
  </si>
  <si>
    <t>中間足場</t>
    <rPh sb="0" eb="2">
      <t>チュウカン</t>
    </rPh>
    <rPh sb="2" eb="4">
      <t>アシバ</t>
    </rPh>
    <phoneticPr fontId="3"/>
  </si>
  <si>
    <t>類　別</t>
    <rPh sb="0" eb="1">
      <t>タグイ</t>
    </rPh>
    <rPh sb="2" eb="3">
      <t>ベツ</t>
    </rPh>
    <phoneticPr fontId="3"/>
  </si>
  <si>
    <t>t/台又は組</t>
    <rPh sb="2" eb="3">
      <t>ダイ</t>
    </rPh>
    <rPh sb="3" eb="4">
      <t>マタ</t>
    </rPh>
    <rPh sb="5" eb="6">
      <t>クミ</t>
    </rPh>
    <phoneticPr fontId="3"/>
  </si>
  <si>
    <t>単　位</t>
    <rPh sb="0" eb="1">
      <t>タン</t>
    </rPh>
    <rPh sb="2" eb="3">
      <t>クライ</t>
    </rPh>
    <phoneticPr fontId="3"/>
  </si>
  <si>
    <t>据付工(人)</t>
    <rPh sb="0" eb="2">
      <t>スエツケ</t>
    </rPh>
    <rPh sb="2" eb="3">
      <t>コウ</t>
    </rPh>
    <rPh sb="4" eb="5">
      <t>ニン</t>
    </rPh>
    <phoneticPr fontId="3"/>
  </si>
  <si>
    <t>配管工</t>
    <rPh sb="0" eb="1">
      <t>ハイ</t>
    </rPh>
    <rPh sb="1" eb="2">
      <t>カン</t>
    </rPh>
    <rPh sb="2" eb="3">
      <t>コウ</t>
    </rPh>
    <phoneticPr fontId="3"/>
  </si>
  <si>
    <t>歩掛(人/台又は組)</t>
    <rPh sb="0" eb="2">
      <t>ブガカリ</t>
    </rPh>
    <rPh sb="3" eb="4">
      <t>ニン</t>
    </rPh>
    <rPh sb="5" eb="6">
      <t>ダイ</t>
    </rPh>
    <rPh sb="6" eb="7">
      <t>マタ</t>
    </rPh>
    <rPh sb="8" eb="9">
      <t>クミ</t>
    </rPh>
    <phoneticPr fontId="3"/>
  </si>
  <si>
    <t>第1～6類</t>
    <rPh sb="0" eb="1">
      <t>ダイ</t>
    </rPh>
    <rPh sb="4" eb="5">
      <t>ルイ</t>
    </rPh>
    <phoneticPr fontId="3"/>
  </si>
  <si>
    <t>第7類</t>
    <rPh sb="0" eb="1">
      <t>ダイ</t>
    </rPh>
    <rPh sb="2" eb="3">
      <t>ルイ</t>
    </rPh>
    <phoneticPr fontId="3"/>
  </si>
  <si>
    <t>設計数量（人）</t>
    <rPh sb="0" eb="2">
      <t>セッケイ</t>
    </rPh>
    <rPh sb="2" eb="4">
      <t>スウリョウ</t>
    </rPh>
    <rPh sb="5" eb="6">
      <t>ニン</t>
    </rPh>
    <phoneticPr fontId="3"/>
  </si>
  <si>
    <t>合計（人）</t>
    <rPh sb="0" eb="2">
      <t>ゴウケイ</t>
    </rPh>
    <rPh sb="3" eb="4">
      <t>ニン</t>
    </rPh>
    <phoneticPr fontId="3"/>
  </si>
  <si>
    <t>機械設備
据付工</t>
    <rPh sb="0" eb="2">
      <t>キカイ</t>
    </rPh>
    <rPh sb="2" eb="4">
      <t>セツビ</t>
    </rPh>
    <rPh sb="5" eb="7">
      <t>スエツケ</t>
    </rPh>
    <rPh sb="7" eb="8">
      <t>コウ</t>
    </rPh>
    <phoneticPr fontId="3"/>
  </si>
  <si>
    <t>〇 第1類から第6類までの据付工は、算定した人工数の90%を機械設備据付工とし、10%を普通作業員とする。第7類の据付工は、すべて設備機械工とする。</t>
    <rPh sb="2" eb="3">
      <t>ダイ</t>
    </rPh>
    <rPh sb="4" eb="5">
      <t>ルイ</t>
    </rPh>
    <rPh sb="7" eb="8">
      <t>ダイ</t>
    </rPh>
    <rPh sb="9" eb="10">
      <t>ルイ</t>
    </rPh>
    <rPh sb="13" eb="15">
      <t>スエツケ</t>
    </rPh>
    <rPh sb="15" eb="16">
      <t>コウ</t>
    </rPh>
    <rPh sb="18" eb="20">
      <t>サンテイ</t>
    </rPh>
    <rPh sb="22" eb="24">
      <t>ジンコウ</t>
    </rPh>
    <rPh sb="24" eb="25">
      <t>スウ</t>
    </rPh>
    <rPh sb="30" eb="32">
      <t>キカイ</t>
    </rPh>
    <rPh sb="32" eb="34">
      <t>セツビ</t>
    </rPh>
    <rPh sb="34" eb="36">
      <t>スエツケ</t>
    </rPh>
    <rPh sb="36" eb="37">
      <t>コウ</t>
    </rPh>
    <rPh sb="44" eb="46">
      <t>フツウ</t>
    </rPh>
    <rPh sb="46" eb="49">
      <t>サギョウイン</t>
    </rPh>
    <rPh sb="53" eb="54">
      <t>ダイ</t>
    </rPh>
    <rPh sb="55" eb="56">
      <t>ルイ</t>
    </rPh>
    <rPh sb="57" eb="59">
      <t>スエツケ</t>
    </rPh>
    <rPh sb="59" eb="60">
      <t>コウ</t>
    </rPh>
    <rPh sb="65" eb="67">
      <t>セツビ</t>
    </rPh>
    <rPh sb="67" eb="69">
      <t>キカイ</t>
    </rPh>
    <rPh sb="69" eb="70">
      <t>コウ</t>
    </rPh>
    <phoneticPr fontId="3"/>
  </si>
  <si>
    <t>〇 これらについて、R2農業集落排水施設標準積算指針p123参照。</t>
    <rPh sb="12" eb="14">
      <t>ノウギョウ</t>
    </rPh>
    <rPh sb="14" eb="16">
      <t>シュウラク</t>
    </rPh>
    <rPh sb="16" eb="18">
      <t>ハイスイ</t>
    </rPh>
    <rPh sb="18" eb="20">
      <t>シセツ</t>
    </rPh>
    <rPh sb="20" eb="22">
      <t>ヒョウジュン</t>
    </rPh>
    <rPh sb="22" eb="24">
      <t>セキサン</t>
    </rPh>
    <rPh sb="24" eb="26">
      <t>シシン</t>
    </rPh>
    <rPh sb="30" eb="32">
      <t>サンショウ</t>
    </rPh>
    <phoneticPr fontId="3"/>
  </si>
  <si>
    <t>〇 補完率について、R2農業集落排水施設標準積算指針p121参照。</t>
    <rPh sb="2" eb="4">
      <t>ホカン</t>
    </rPh>
    <rPh sb="4" eb="5">
      <t>リツ</t>
    </rPh>
    <rPh sb="12" eb="14">
      <t>ノウギョウ</t>
    </rPh>
    <rPh sb="14" eb="16">
      <t>シュウラク</t>
    </rPh>
    <rPh sb="16" eb="18">
      <t>ハイスイ</t>
    </rPh>
    <rPh sb="18" eb="20">
      <t>シセツ</t>
    </rPh>
    <rPh sb="20" eb="22">
      <t>ヒョウジュン</t>
    </rPh>
    <rPh sb="22" eb="24">
      <t>セキサン</t>
    </rPh>
    <rPh sb="24" eb="26">
      <t>シシン</t>
    </rPh>
    <rPh sb="30" eb="32">
      <t>サンショウ</t>
    </rPh>
    <phoneticPr fontId="3"/>
  </si>
  <si>
    <t>機器等据付工</t>
    <rPh sb="0" eb="2">
      <t>キキ</t>
    </rPh>
    <rPh sb="2" eb="3">
      <t>トウ</t>
    </rPh>
    <rPh sb="3" eb="5">
      <t>スエツケ</t>
    </rPh>
    <rPh sb="5" eb="6">
      <t>コウ</t>
    </rPh>
    <phoneticPr fontId="3"/>
  </si>
  <si>
    <t>工　　種</t>
    <rPh sb="0" eb="1">
      <t>コウ</t>
    </rPh>
    <rPh sb="3" eb="4">
      <t>シュ</t>
    </rPh>
    <phoneticPr fontId="3"/>
  </si>
  <si>
    <t>労務費集計表　（機械設備）</t>
    <rPh sb="0" eb="2">
      <t>ロウム</t>
    </rPh>
    <rPh sb="2" eb="3">
      <t>ヒ</t>
    </rPh>
    <rPh sb="3" eb="5">
      <t>シュウケイ</t>
    </rPh>
    <rPh sb="5" eb="6">
      <t>ヒョウ</t>
    </rPh>
    <rPh sb="8" eb="10">
      <t>キカイ</t>
    </rPh>
    <rPh sb="10" eb="12">
      <t>セツビ</t>
    </rPh>
    <phoneticPr fontId="3"/>
  </si>
  <si>
    <t>小配管据付工</t>
    <rPh sb="0" eb="1">
      <t>ショウ</t>
    </rPh>
    <rPh sb="1" eb="3">
      <t>ハイカン</t>
    </rPh>
    <rPh sb="3" eb="5">
      <t>スエツケ</t>
    </rPh>
    <rPh sb="5" eb="6">
      <t>コウ</t>
    </rPh>
    <phoneticPr fontId="3"/>
  </si>
  <si>
    <t>小配管撤去工</t>
    <rPh sb="0" eb="3">
      <t>ショウハイカン</t>
    </rPh>
    <rPh sb="3" eb="5">
      <t>テッキョ</t>
    </rPh>
    <rPh sb="5" eb="6">
      <t>コウ</t>
    </rPh>
    <phoneticPr fontId="3"/>
  </si>
  <si>
    <t>数量集計表（機械設備）</t>
    <rPh sb="0" eb="2">
      <t>スウリョウ</t>
    </rPh>
    <rPh sb="2" eb="5">
      <t>シュウケイヒョウ</t>
    </rPh>
    <rPh sb="6" eb="8">
      <t>キカイ</t>
    </rPh>
    <rPh sb="8" eb="10">
      <t>セツビ</t>
    </rPh>
    <phoneticPr fontId="3"/>
  </si>
  <si>
    <t>機器類</t>
    <rPh sb="0" eb="2">
      <t>キキ</t>
    </rPh>
    <rPh sb="2" eb="3">
      <t>ルイ</t>
    </rPh>
    <phoneticPr fontId="3"/>
  </si>
  <si>
    <t>設置数量</t>
    <rPh sb="0" eb="2">
      <t>セッチ</t>
    </rPh>
    <rPh sb="2" eb="4">
      <t>スウリョウ</t>
    </rPh>
    <phoneticPr fontId="3"/>
  </si>
  <si>
    <t>材料数量</t>
    <rPh sb="0" eb="2">
      <t>ザイリョウ</t>
    </rPh>
    <rPh sb="2" eb="4">
      <t>スウリョウ</t>
    </rPh>
    <phoneticPr fontId="3"/>
  </si>
  <si>
    <t>小配管・弁類</t>
    <rPh sb="0" eb="1">
      <t>ショウ</t>
    </rPh>
    <rPh sb="1" eb="3">
      <t>ハイカン</t>
    </rPh>
    <rPh sb="4" eb="5">
      <t>ベン</t>
    </rPh>
    <rPh sb="5" eb="6">
      <t>ルイ</t>
    </rPh>
    <phoneticPr fontId="3"/>
  </si>
  <si>
    <t>逆止弁</t>
    <rPh sb="0" eb="1">
      <t>ギャク</t>
    </rPh>
    <rPh sb="1" eb="2">
      <t>ト</t>
    </rPh>
    <rPh sb="2" eb="3">
      <t>ベン</t>
    </rPh>
    <phoneticPr fontId="3"/>
  </si>
  <si>
    <t>撤去数量</t>
    <rPh sb="0" eb="2">
      <t>テッキョ</t>
    </rPh>
    <rPh sb="2" eb="4">
      <t>スウリョウ</t>
    </rPh>
    <phoneticPr fontId="3"/>
  </si>
  <si>
    <t>数量集計表（機械設備・撤去）</t>
    <rPh sb="0" eb="2">
      <t>スウリョウ</t>
    </rPh>
    <rPh sb="2" eb="5">
      <t>シュウケイヒョウ</t>
    </rPh>
    <rPh sb="6" eb="8">
      <t>キカイ</t>
    </rPh>
    <rPh sb="8" eb="10">
      <t>セツビ</t>
    </rPh>
    <rPh sb="11" eb="13">
      <t>テッキョ</t>
    </rPh>
    <phoneticPr fontId="3"/>
  </si>
  <si>
    <t>計　算　式</t>
    <rPh sb="0" eb="1">
      <t>ケイ</t>
    </rPh>
    <rPh sb="2" eb="3">
      <t>サン</t>
    </rPh>
    <rPh sb="4" eb="5">
      <t>シキ</t>
    </rPh>
    <phoneticPr fontId="3"/>
  </si>
  <si>
    <t>インバートモルタル</t>
    <phoneticPr fontId="3"/>
  </si>
  <si>
    <t>配合比1：2
18N/㎜2以上</t>
    <rPh sb="0" eb="2">
      <t>ハイゴウ</t>
    </rPh>
    <rPh sb="2" eb="3">
      <t>ヒ</t>
    </rPh>
    <rPh sb="13" eb="15">
      <t>イジョウ</t>
    </rPh>
    <phoneticPr fontId="3"/>
  </si>
  <si>
    <t>((1.50/2)^2×3.14)×0.292</t>
    <phoneticPr fontId="3"/>
  </si>
  <si>
    <t>予旋回槽内</t>
    <rPh sb="0" eb="4">
      <t>ヨセンカイソウ</t>
    </rPh>
    <rPh sb="4" eb="5">
      <t>ナイ</t>
    </rPh>
    <phoneticPr fontId="3"/>
  </si>
  <si>
    <t>複合工費（モルタル工）</t>
    <rPh sb="0" eb="2">
      <t>フクゴウ</t>
    </rPh>
    <rPh sb="2" eb="4">
      <t>コウヒ</t>
    </rPh>
    <rPh sb="9" eb="10">
      <t>コウ</t>
    </rPh>
    <phoneticPr fontId="3"/>
  </si>
  <si>
    <t>複合工費（削孔工）</t>
    <rPh sb="0" eb="2">
      <t>フクゴウ</t>
    </rPh>
    <rPh sb="2" eb="4">
      <t>コウヒ</t>
    </rPh>
    <rPh sb="5" eb="7">
      <t>サッコウ</t>
    </rPh>
    <rPh sb="7" eb="8">
      <t>コウ</t>
    </rPh>
    <phoneticPr fontId="3"/>
  </si>
  <si>
    <t>削孔工</t>
    <rPh sb="0" eb="2">
      <t>サッコウ</t>
    </rPh>
    <rPh sb="2" eb="3">
      <t>コウ</t>
    </rPh>
    <phoneticPr fontId="3"/>
  </si>
  <si>
    <t>1.00</t>
    <phoneticPr fontId="3"/>
  </si>
  <si>
    <t>複合工費（機械）</t>
    <rPh sb="0" eb="2">
      <t>フクゴウ</t>
    </rPh>
    <rPh sb="2" eb="4">
      <t>コウヒ</t>
    </rPh>
    <rPh sb="5" eb="7">
      <t>キカイ</t>
    </rPh>
    <phoneticPr fontId="3"/>
  </si>
  <si>
    <t>モルタル工</t>
    <rPh sb="4" eb="5">
      <t>コウ</t>
    </rPh>
    <phoneticPr fontId="3"/>
  </si>
  <si>
    <t>配合比1：2</t>
    <rPh sb="0" eb="2">
      <t>ハイゴウ</t>
    </rPh>
    <rPh sb="2" eb="3">
      <t>ヒ</t>
    </rPh>
    <phoneticPr fontId="3"/>
  </si>
  <si>
    <t>既設管充填</t>
    <rPh sb="0" eb="2">
      <t>キセツ</t>
    </rPh>
    <rPh sb="2" eb="3">
      <t>カン</t>
    </rPh>
    <rPh sb="3" eb="5">
      <t>ジュウテン</t>
    </rPh>
    <phoneticPr fontId="3"/>
  </si>
  <si>
    <t>1.50×3.14×5.44</t>
    <phoneticPr fontId="3"/>
  </si>
  <si>
    <t>本 工 事 費 内 訳 書</t>
    <rPh sb="0" eb="1">
      <t>ホン</t>
    </rPh>
    <rPh sb="2" eb="3">
      <t>コウ</t>
    </rPh>
    <rPh sb="4" eb="5">
      <t>コト</t>
    </rPh>
    <rPh sb="6" eb="7">
      <t>ヒ</t>
    </rPh>
    <rPh sb="8" eb="9">
      <t>ウチ</t>
    </rPh>
    <rPh sb="10" eb="11">
      <t>ワケ</t>
    </rPh>
    <rPh sb="12" eb="13">
      <t>ショ</t>
    </rPh>
    <phoneticPr fontId="3"/>
  </si>
  <si>
    <t>上段：当初、下段：変更</t>
    <rPh sb="0" eb="2">
      <t>ジョウダン</t>
    </rPh>
    <rPh sb="3" eb="5">
      <t>トウショ</t>
    </rPh>
    <rPh sb="6" eb="8">
      <t>ゲダン</t>
    </rPh>
    <rPh sb="9" eb="11">
      <t>ヘンコウ</t>
    </rPh>
    <phoneticPr fontId="3"/>
  </si>
  <si>
    <t>工　種</t>
    <rPh sb="0" eb="1">
      <t>コウ</t>
    </rPh>
    <rPh sb="2" eb="3">
      <t>シュ</t>
    </rPh>
    <phoneticPr fontId="3"/>
  </si>
  <si>
    <t>種　別</t>
    <rPh sb="0" eb="1">
      <t>シュ</t>
    </rPh>
    <rPh sb="2" eb="3">
      <t>ベツ</t>
    </rPh>
    <phoneticPr fontId="3"/>
  </si>
  <si>
    <t>細　　　別</t>
    <rPh sb="0" eb="1">
      <t>ホソ</t>
    </rPh>
    <rPh sb="4" eb="5">
      <t>ベツ</t>
    </rPh>
    <phoneticPr fontId="3"/>
  </si>
  <si>
    <t>機械設備工事</t>
    <rPh sb="0" eb="2">
      <t>キカイ</t>
    </rPh>
    <rPh sb="2" eb="4">
      <t>セツビ</t>
    </rPh>
    <rPh sb="4" eb="6">
      <t>コウジ</t>
    </rPh>
    <phoneticPr fontId="3"/>
  </si>
  <si>
    <t>式</t>
    <rPh sb="0" eb="1">
      <t>シキ</t>
    </rPh>
    <phoneticPr fontId="3"/>
  </si>
  <si>
    <t>合計</t>
    <rPh sb="0" eb="2">
      <t>ゴウケイ</t>
    </rPh>
    <phoneticPr fontId="3"/>
  </si>
  <si>
    <t>（機器費）</t>
    <rPh sb="1" eb="3">
      <t>キキ</t>
    </rPh>
    <rPh sb="3" eb="4">
      <t>ヒ</t>
    </rPh>
    <phoneticPr fontId="3"/>
  </si>
  <si>
    <t>直接工事費</t>
    <rPh sb="0" eb="2">
      <t>チョクセツ</t>
    </rPh>
    <rPh sb="2" eb="5">
      <t>コウジヒ</t>
    </rPh>
    <phoneticPr fontId="3"/>
  </si>
  <si>
    <t>間接工事費</t>
    <rPh sb="0" eb="2">
      <t>カンセツ</t>
    </rPh>
    <rPh sb="2" eb="5">
      <t>コウジヒ</t>
    </rPh>
    <phoneticPr fontId="3"/>
  </si>
  <si>
    <t>共通仮設費</t>
    <rPh sb="0" eb="2">
      <t>キョウツウ</t>
    </rPh>
    <rPh sb="2" eb="4">
      <t>カセツ</t>
    </rPh>
    <rPh sb="4" eb="5">
      <t>ヒ</t>
    </rPh>
    <phoneticPr fontId="3"/>
  </si>
  <si>
    <t>％</t>
    <phoneticPr fontId="3"/>
  </si>
  <si>
    <t>千円未満切捨て</t>
    <rPh sb="0" eb="2">
      <t>センエン</t>
    </rPh>
    <rPh sb="2" eb="4">
      <t>ミマン</t>
    </rPh>
    <rPh sb="4" eb="6">
      <t>キリス</t>
    </rPh>
    <phoneticPr fontId="3"/>
  </si>
  <si>
    <t>積上げ仮設費</t>
    <rPh sb="0" eb="2">
      <t>ツミア</t>
    </rPh>
    <rPh sb="3" eb="5">
      <t>カセツ</t>
    </rPh>
    <rPh sb="5" eb="6">
      <t>ヒ</t>
    </rPh>
    <phoneticPr fontId="3"/>
  </si>
  <si>
    <t>　共通仮設費計</t>
    <rPh sb="1" eb="3">
      <t>キョウツウ</t>
    </rPh>
    <rPh sb="3" eb="5">
      <t>カセツ</t>
    </rPh>
    <rPh sb="5" eb="6">
      <t>ヒ</t>
    </rPh>
    <rPh sb="6" eb="7">
      <t>ケイ</t>
    </rPh>
    <phoneticPr fontId="3"/>
  </si>
  <si>
    <t>現場管理費</t>
    <rPh sb="0" eb="2">
      <t>ゲンバ</t>
    </rPh>
    <rPh sb="2" eb="5">
      <t>カンリヒ</t>
    </rPh>
    <phoneticPr fontId="3"/>
  </si>
  <si>
    <t>％</t>
    <phoneticPr fontId="3"/>
  </si>
  <si>
    <t>　現場管理費計</t>
    <rPh sb="1" eb="3">
      <t>ゲンバ</t>
    </rPh>
    <rPh sb="3" eb="6">
      <t>カンリヒ</t>
    </rPh>
    <rPh sb="6" eb="7">
      <t>ケイ</t>
    </rPh>
    <phoneticPr fontId="3"/>
  </si>
  <si>
    <t>据付間接費</t>
    <rPh sb="0" eb="2">
      <t>スエツケ</t>
    </rPh>
    <rPh sb="2" eb="4">
      <t>カンセツ</t>
    </rPh>
    <rPh sb="4" eb="5">
      <t>ヒ</t>
    </rPh>
    <phoneticPr fontId="3"/>
  </si>
  <si>
    <t>（据付労務費×90%）</t>
    <rPh sb="1" eb="3">
      <t>スエツケ</t>
    </rPh>
    <rPh sb="3" eb="5">
      <t>ロウム</t>
    </rPh>
    <rPh sb="5" eb="6">
      <t>ヒ</t>
    </rPh>
    <phoneticPr fontId="3"/>
  </si>
  <si>
    <t>　据付間接費計</t>
    <rPh sb="1" eb="3">
      <t>スエツケ</t>
    </rPh>
    <rPh sb="3" eb="5">
      <t>カンセツ</t>
    </rPh>
    <rPh sb="5" eb="6">
      <t>ヒ</t>
    </rPh>
    <rPh sb="6" eb="7">
      <t>ケイ</t>
    </rPh>
    <phoneticPr fontId="3"/>
  </si>
  <si>
    <t>（間接工事費）</t>
    <rPh sb="1" eb="3">
      <t>カンセツ</t>
    </rPh>
    <rPh sb="3" eb="6">
      <t>コウジヒ</t>
    </rPh>
    <phoneticPr fontId="3"/>
  </si>
  <si>
    <t>据付工事原価</t>
    <rPh sb="0" eb="2">
      <t>スエツケ</t>
    </rPh>
    <rPh sb="2" eb="4">
      <t>コウジ</t>
    </rPh>
    <rPh sb="4" eb="6">
      <t>ゲンカ</t>
    </rPh>
    <phoneticPr fontId="3"/>
  </si>
  <si>
    <t>（直接工事費+間接工事費）</t>
    <rPh sb="1" eb="3">
      <t>チョクセツ</t>
    </rPh>
    <rPh sb="3" eb="5">
      <t>コウジ</t>
    </rPh>
    <rPh sb="5" eb="6">
      <t>ヒ</t>
    </rPh>
    <rPh sb="7" eb="9">
      <t>カンセツ</t>
    </rPh>
    <rPh sb="9" eb="11">
      <t>コウジ</t>
    </rPh>
    <rPh sb="11" eb="12">
      <t>ヒ</t>
    </rPh>
    <phoneticPr fontId="3"/>
  </si>
  <si>
    <t>設計技術費</t>
    <rPh sb="0" eb="2">
      <t>セッケイ</t>
    </rPh>
    <rPh sb="2" eb="4">
      <t>ギジュツ</t>
    </rPh>
    <rPh sb="4" eb="5">
      <t>ヒ</t>
    </rPh>
    <phoneticPr fontId="3"/>
  </si>
  <si>
    <t>（設計技術費）</t>
    <rPh sb="1" eb="3">
      <t>セッケイ</t>
    </rPh>
    <rPh sb="3" eb="5">
      <t>ギジュツ</t>
    </rPh>
    <rPh sb="5" eb="6">
      <t>ヒ</t>
    </rPh>
    <phoneticPr fontId="3"/>
  </si>
  <si>
    <t>工事原価</t>
    <rPh sb="0" eb="2">
      <t>コウジ</t>
    </rPh>
    <rPh sb="2" eb="4">
      <t>ゲンカ</t>
    </rPh>
    <phoneticPr fontId="3"/>
  </si>
  <si>
    <t>（機器費+据付工事原価+設計技術費）</t>
    <rPh sb="1" eb="3">
      <t>キキ</t>
    </rPh>
    <rPh sb="3" eb="4">
      <t>ヒ</t>
    </rPh>
    <rPh sb="5" eb="7">
      <t>スエツケ</t>
    </rPh>
    <rPh sb="7" eb="9">
      <t>コウジ</t>
    </rPh>
    <rPh sb="9" eb="11">
      <t>ゲンカ</t>
    </rPh>
    <rPh sb="12" eb="14">
      <t>セッケイ</t>
    </rPh>
    <rPh sb="14" eb="16">
      <t>ギジュツ</t>
    </rPh>
    <rPh sb="16" eb="17">
      <t>ヒ</t>
    </rPh>
    <phoneticPr fontId="3"/>
  </si>
  <si>
    <t>一般管理費等</t>
    <rPh sb="0" eb="2">
      <t>イッパン</t>
    </rPh>
    <rPh sb="2" eb="5">
      <t>カンリヒ</t>
    </rPh>
    <rPh sb="5" eb="6">
      <t>トウ</t>
    </rPh>
    <phoneticPr fontId="3"/>
  </si>
  <si>
    <t>一般管理費</t>
    <rPh sb="0" eb="2">
      <t>イッパン</t>
    </rPh>
    <rPh sb="2" eb="5">
      <t>カンリヒ</t>
    </rPh>
    <phoneticPr fontId="3"/>
  </si>
  <si>
    <t>契約補償費</t>
    <rPh sb="0" eb="2">
      <t>ケイヤク</t>
    </rPh>
    <rPh sb="2" eb="4">
      <t>ホショウ</t>
    </rPh>
    <rPh sb="4" eb="5">
      <t>ヒ</t>
    </rPh>
    <phoneticPr fontId="3"/>
  </si>
  <si>
    <t>（工事原価×0.04%）</t>
    <rPh sb="1" eb="3">
      <t>コウジ</t>
    </rPh>
    <rPh sb="3" eb="5">
      <t>ゲンカ</t>
    </rPh>
    <phoneticPr fontId="3"/>
  </si>
  <si>
    <t>（一般管理費等）</t>
    <rPh sb="1" eb="3">
      <t>イッパン</t>
    </rPh>
    <rPh sb="3" eb="6">
      <t>カンリヒ</t>
    </rPh>
    <rPh sb="6" eb="7">
      <t>トウ</t>
    </rPh>
    <phoneticPr fontId="3"/>
  </si>
  <si>
    <t>工事価格</t>
    <rPh sb="0" eb="2">
      <t>コウジ</t>
    </rPh>
    <rPh sb="2" eb="4">
      <t>カカク</t>
    </rPh>
    <phoneticPr fontId="3"/>
  </si>
  <si>
    <t>（工事原価+一般管理費等）</t>
    <rPh sb="1" eb="3">
      <t>コウジ</t>
    </rPh>
    <rPh sb="3" eb="5">
      <t>ゲンカ</t>
    </rPh>
    <rPh sb="6" eb="8">
      <t>イッパン</t>
    </rPh>
    <rPh sb="8" eb="11">
      <t>カンリヒ</t>
    </rPh>
    <rPh sb="11" eb="12">
      <t>トウ</t>
    </rPh>
    <phoneticPr fontId="3"/>
  </si>
  <si>
    <t>（共通仮設費算定）</t>
    <rPh sb="1" eb="3">
      <t>キョウツウ</t>
    </rPh>
    <rPh sb="3" eb="5">
      <t>カセツ</t>
    </rPh>
    <rPh sb="5" eb="6">
      <t>ヒ</t>
    </rPh>
    <rPh sb="6" eb="8">
      <t>サンテイ</t>
    </rPh>
    <phoneticPr fontId="3"/>
  </si>
  <si>
    <t>　　① 共通仮設費率</t>
    <rPh sb="4" eb="6">
      <t>キョウツウ</t>
    </rPh>
    <rPh sb="6" eb="8">
      <t>カセツ</t>
    </rPh>
    <rPh sb="8" eb="9">
      <t>ヒ</t>
    </rPh>
    <rPh sb="9" eb="10">
      <t>リツ</t>
    </rPh>
    <phoneticPr fontId="3"/>
  </si>
  <si>
    <t>Y ＝ 2,858.52× X ^-0.2698</t>
    <phoneticPr fontId="3"/>
  </si>
  <si>
    <t>　Y ： 共通仮設費率（%）</t>
    <rPh sb="5" eb="7">
      <t>キョウツウ</t>
    </rPh>
    <rPh sb="7" eb="9">
      <t>カセツ</t>
    </rPh>
    <rPh sb="9" eb="10">
      <t>ヒ</t>
    </rPh>
    <rPh sb="10" eb="11">
      <t>リツ</t>
    </rPh>
    <phoneticPr fontId="3"/>
  </si>
  <si>
    <t>　X ： 対象額（直接工事費+事業損失防止施設費+(無償貸付機械等評価額+支給品費）+準備費に含まれる処分費）</t>
    <rPh sb="5" eb="7">
      <t>タイショウ</t>
    </rPh>
    <rPh sb="7" eb="8">
      <t>ガク</t>
    </rPh>
    <rPh sb="9" eb="11">
      <t>チョクセツ</t>
    </rPh>
    <rPh sb="11" eb="14">
      <t>コウジヒ</t>
    </rPh>
    <rPh sb="15" eb="17">
      <t>ジギョウ</t>
    </rPh>
    <rPh sb="17" eb="19">
      <t>ソンシツ</t>
    </rPh>
    <rPh sb="19" eb="21">
      <t>ボウシ</t>
    </rPh>
    <rPh sb="21" eb="23">
      <t>シセツ</t>
    </rPh>
    <rPh sb="23" eb="24">
      <t>ヒ</t>
    </rPh>
    <rPh sb="26" eb="28">
      <t>ムショウ</t>
    </rPh>
    <rPh sb="28" eb="29">
      <t>カ</t>
    </rPh>
    <rPh sb="29" eb="30">
      <t>ツ</t>
    </rPh>
    <rPh sb="30" eb="32">
      <t>キカイ</t>
    </rPh>
    <rPh sb="32" eb="33">
      <t>トウ</t>
    </rPh>
    <rPh sb="33" eb="35">
      <t>ヒョウカ</t>
    </rPh>
    <rPh sb="35" eb="36">
      <t>ガク</t>
    </rPh>
    <rPh sb="37" eb="39">
      <t>シキュウ</t>
    </rPh>
    <rPh sb="39" eb="40">
      <t>ヒン</t>
    </rPh>
    <rPh sb="40" eb="41">
      <t>ヒ</t>
    </rPh>
    <rPh sb="43" eb="45">
      <t>ジュンビ</t>
    </rPh>
    <rPh sb="45" eb="46">
      <t>ヒ</t>
    </rPh>
    <rPh sb="47" eb="48">
      <t>フク</t>
    </rPh>
    <rPh sb="51" eb="53">
      <t>ショブン</t>
    </rPh>
    <rPh sb="53" eb="54">
      <t>ヒ</t>
    </rPh>
    <phoneticPr fontId="3"/>
  </si>
  <si>
    <t>　　　ただし、上下限の率は次による。</t>
    <rPh sb="7" eb="10">
      <t>ジョウカゲン</t>
    </rPh>
    <rPh sb="11" eb="12">
      <t>リツ</t>
    </rPh>
    <rPh sb="13" eb="14">
      <t>ツギ</t>
    </rPh>
    <phoneticPr fontId="3"/>
  </si>
  <si>
    <t>X ≦ 1,000,000円は、</t>
    <rPh sb="13" eb="14">
      <t>エン</t>
    </rPh>
    <phoneticPr fontId="3"/>
  </si>
  <si>
    <t>%</t>
    <phoneticPr fontId="3"/>
  </si>
  <si>
    <t>X ＞ 500,000,000円は、</t>
    <rPh sb="15" eb="16">
      <t>エン</t>
    </rPh>
    <phoneticPr fontId="3"/>
  </si>
  <si>
    <t>X ＝</t>
    <phoneticPr fontId="3"/>
  </si>
  <si>
    <t>円</t>
    <rPh sb="0" eb="1">
      <t>エン</t>
    </rPh>
    <phoneticPr fontId="3"/>
  </si>
  <si>
    <t>①</t>
    <phoneticPr fontId="3"/>
  </si>
  <si>
    <t>②</t>
    <phoneticPr fontId="3"/>
  </si>
  <si>
    <t>③</t>
    <phoneticPr fontId="3"/>
  </si>
  <si>
    <t>Y ＝</t>
    <phoneticPr fontId="3"/>
  </si>
  <si>
    <t>（現場管理費算定）</t>
    <rPh sb="1" eb="3">
      <t>ゲンバ</t>
    </rPh>
    <rPh sb="3" eb="6">
      <t>カンリヒ</t>
    </rPh>
    <rPh sb="5" eb="6">
      <t>ヒ</t>
    </rPh>
    <rPh sb="6" eb="8">
      <t>サンテイ</t>
    </rPh>
    <phoneticPr fontId="3"/>
  </si>
  <si>
    <t>　　① 現場管理費率</t>
    <rPh sb="4" eb="6">
      <t>ゲンバ</t>
    </rPh>
    <rPh sb="6" eb="8">
      <t>カンリ</t>
    </rPh>
    <rPh sb="8" eb="9">
      <t>ヒ</t>
    </rPh>
    <rPh sb="9" eb="10">
      <t>リツ</t>
    </rPh>
    <phoneticPr fontId="3"/>
  </si>
  <si>
    <t>　Y ： 現場管理費率（%）</t>
    <rPh sb="5" eb="7">
      <t>ゲンバ</t>
    </rPh>
    <rPh sb="7" eb="10">
      <t>カンリヒ</t>
    </rPh>
    <rPh sb="9" eb="10">
      <t>ヒ</t>
    </rPh>
    <rPh sb="10" eb="11">
      <t>リツ</t>
    </rPh>
    <phoneticPr fontId="3"/>
  </si>
  <si>
    <t>　X ： 対象額（純工事費(直接工事費+共通仮設費)+(無償貸付機械等評価額+支給品費））</t>
    <rPh sb="5" eb="7">
      <t>タイショウ</t>
    </rPh>
    <rPh sb="7" eb="8">
      <t>ガク</t>
    </rPh>
    <rPh sb="9" eb="10">
      <t>ジュン</t>
    </rPh>
    <rPh sb="10" eb="12">
      <t>コウジ</t>
    </rPh>
    <rPh sb="12" eb="13">
      <t>ヒ</t>
    </rPh>
    <rPh sb="14" eb="16">
      <t>チョクセツ</t>
    </rPh>
    <rPh sb="16" eb="19">
      <t>コウジヒ</t>
    </rPh>
    <rPh sb="20" eb="22">
      <t>キョウツウ</t>
    </rPh>
    <rPh sb="22" eb="24">
      <t>カセツ</t>
    </rPh>
    <rPh sb="24" eb="25">
      <t>ヒ</t>
    </rPh>
    <rPh sb="28" eb="30">
      <t>ムショウ</t>
    </rPh>
    <rPh sb="30" eb="31">
      <t>カ</t>
    </rPh>
    <rPh sb="31" eb="32">
      <t>ツ</t>
    </rPh>
    <rPh sb="32" eb="34">
      <t>キカイ</t>
    </rPh>
    <rPh sb="34" eb="35">
      <t>トウ</t>
    </rPh>
    <rPh sb="35" eb="37">
      <t>ヒョウカ</t>
    </rPh>
    <rPh sb="37" eb="38">
      <t>ガク</t>
    </rPh>
    <rPh sb="39" eb="41">
      <t>シキュウ</t>
    </rPh>
    <rPh sb="41" eb="42">
      <t>ヒン</t>
    </rPh>
    <rPh sb="42" eb="43">
      <t>ヒ</t>
    </rPh>
    <phoneticPr fontId="3"/>
  </si>
  <si>
    <t>（設計技術費算定）</t>
    <rPh sb="1" eb="3">
      <t>セッケイ</t>
    </rPh>
    <rPh sb="3" eb="5">
      <t>ギジュツ</t>
    </rPh>
    <rPh sb="5" eb="6">
      <t>ヒ</t>
    </rPh>
    <rPh sb="6" eb="8">
      <t>サンテイ</t>
    </rPh>
    <phoneticPr fontId="3"/>
  </si>
  <si>
    <t>　　① 設計技術費率</t>
    <rPh sb="4" eb="6">
      <t>セッケイ</t>
    </rPh>
    <rPh sb="6" eb="8">
      <t>ギジュツ</t>
    </rPh>
    <rPh sb="8" eb="9">
      <t>ヒ</t>
    </rPh>
    <rPh sb="9" eb="10">
      <t>リツ</t>
    </rPh>
    <phoneticPr fontId="3"/>
  </si>
  <si>
    <t>Y ＝ 183.41× X ^-0.2107</t>
    <phoneticPr fontId="3"/>
  </si>
  <si>
    <t>　Y ： 設計技術費率（%）</t>
    <rPh sb="5" eb="7">
      <t>セッケイ</t>
    </rPh>
    <rPh sb="7" eb="9">
      <t>ギジュツ</t>
    </rPh>
    <rPh sb="9" eb="10">
      <t>ヒ</t>
    </rPh>
    <rPh sb="10" eb="11">
      <t>リツ</t>
    </rPh>
    <phoneticPr fontId="3"/>
  </si>
  <si>
    <t>　X ： 対象額（機器費+据付工事原価）</t>
    <rPh sb="5" eb="7">
      <t>タイショウ</t>
    </rPh>
    <rPh sb="7" eb="8">
      <t>ガク</t>
    </rPh>
    <rPh sb="9" eb="11">
      <t>キキ</t>
    </rPh>
    <rPh sb="11" eb="12">
      <t>ヒ</t>
    </rPh>
    <rPh sb="13" eb="15">
      <t>スエツケ</t>
    </rPh>
    <rPh sb="15" eb="17">
      <t>コウジ</t>
    </rPh>
    <rPh sb="17" eb="19">
      <t>ゲンカ</t>
    </rPh>
    <phoneticPr fontId="3"/>
  </si>
  <si>
    <t>X ≦ 5,000,000円は、</t>
    <rPh sb="13" eb="14">
      <t>エン</t>
    </rPh>
    <phoneticPr fontId="3"/>
  </si>
  <si>
    <t>X ＞ 1,000,000,000円は、</t>
    <rPh sb="17" eb="18">
      <t>エン</t>
    </rPh>
    <phoneticPr fontId="3"/>
  </si>
  <si>
    <t>（一般管理費算定）</t>
    <rPh sb="1" eb="3">
      <t>イッパン</t>
    </rPh>
    <rPh sb="3" eb="6">
      <t>カンリヒ</t>
    </rPh>
    <rPh sb="6" eb="8">
      <t>サンテイ</t>
    </rPh>
    <phoneticPr fontId="3"/>
  </si>
  <si>
    <t>　　① 標準一般管理費等率</t>
    <rPh sb="4" eb="6">
      <t>ヒョウジュン</t>
    </rPh>
    <rPh sb="6" eb="8">
      <t>イッパン</t>
    </rPh>
    <rPh sb="8" eb="11">
      <t>カンリヒ</t>
    </rPh>
    <rPh sb="11" eb="12">
      <t>トウ</t>
    </rPh>
    <rPh sb="12" eb="13">
      <t>リツ</t>
    </rPh>
    <phoneticPr fontId="3"/>
  </si>
  <si>
    <t>　Y ： 標準一般管理費等率（%）</t>
    <rPh sb="5" eb="7">
      <t>ヒョウジュン</t>
    </rPh>
    <rPh sb="7" eb="9">
      <t>イッパン</t>
    </rPh>
    <rPh sb="9" eb="12">
      <t>カンリヒ</t>
    </rPh>
    <rPh sb="12" eb="13">
      <t>トウ</t>
    </rPh>
    <rPh sb="13" eb="14">
      <t>リツ</t>
    </rPh>
    <phoneticPr fontId="3"/>
  </si>
  <si>
    <t>　X ： 対象額（工事原価）</t>
    <rPh sb="5" eb="7">
      <t>タイショウ</t>
    </rPh>
    <rPh sb="7" eb="8">
      <t>ガク</t>
    </rPh>
    <rPh sb="9" eb="11">
      <t>コウジ</t>
    </rPh>
    <rPh sb="11" eb="13">
      <t>ゲンカ</t>
    </rPh>
    <phoneticPr fontId="3"/>
  </si>
  <si>
    <t>X ＞ 3,000,000,000円は、</t>
    <rPh sb="17" eb="18">
      <t>エン</t>
    </rPh>
    <phoneticPr fontId="3"/>
  </si>
  <si>
    <t>　　② 前払金支出割合補正係数</t>
    <rPh sb="4" eb="5">
      <t>マエ</t>
    </rPh>
    <rPh sb="5" eb="6">
      <t>ハラ</t>
    </rPh>
    <rPh sb="6" eb="7">
      <t>キン</t>
    </rPh>
    <rPh sb="7" eb="9">
      <t>シシュツ</t>
    </rPh>
    <rPh sb="9" eb="11">
      <t>ワリアイ</t>
    </rPh>
    <rPh sb="11" eb="13">
      <t>ホセイ</t>
    </rPh>
    <rPh sb="13" eb="15">
      <t>ケイスウ</t>
    </rPh>
    <phoneticPr fontId="3"/>
  </si>
  <si>
    <t>0%から5%以下</t>
    <rPh sb="6" eb="8">
      <t>イカ</t>
    </rPh>
    <phoneticPr fontId="3"/>
  </si>
  <si>
    <t>35%を超え40%以下</t>
    <rPh sb="4" eb="5">
      <t>コ</t>
    </rPh>
    <rPh sb="9" eb="11">
      <t>イカ</t>
    </rPh>
    <phoneticPr fontId="3"/>
  </si>
  <si>
    <t>5%を超え15%以下</t>
    <rPh sb="3" eb="4">
      <t>コ</t>
    </rPh>
    <rPh sb="8" eb="10">
      <t>イカ</t>
    </rPh>
    <phoneticPr fontId="3"/>
  </si>
  <si>
    <t>15%を超え25%以下</t>
    <rPh sb="4" eb="5">
      <t>コ</t>
    </rPh>
    <rPh sb="9" eb="11">
      <t>イカ</t>
    </rPh>
    <phoneticPr fontId="3"/>
  </si>
  <si>
    <t>25%を超え35%以下</t>
    <rPh sb="4" eb="5">
      <t>コ</t>
    </rPh>
    <rPh sb="9" eb="11">
      <t>イカ</t>
    </rPh>
    <phoneticPr fontId="3"/>
  </si>
  <si>
    <t>　　③ 機器費補正係数</t>
    <rPh sb="4" eb="6">
      <t>キキ</t>
    </rPh>
    <rPh sb="6" eb="7">
      <t>ヒ</t>
    </rPh>
    <rPh sb="7" eb="9">
      <t>ホセイ</t>
    </rPh>
    <rPh sb="9" eb="11">
      <t>ケイスウ</t>
    </rPh>
    <phoneticPr fontId="3"/>
  </si>
  <si>
    <t>R ＝ 1-（K / 1.25）</t>
    <phoneticPr fontId="3"/>
  </si>
  <si>
    <t>　R ： 機器費補正係数</t>
    <rPh sb="5" eb="7">
      <t>キキ</t>
    </rPh>
    <rPh sb="7" eb="8">
      <t>ヒ</t>
    </rPh>
    <rPh sb="8" eb="10">
      <t>ホセイ</t>
    </rPh>
    <rPh sb="10" eb="12">
      <t>ケイスウ</t>
    </rPh>
    <phoneticPr fontId="3"/>
  </si>
  <si>
    <t>　K ： 工事原価に占める機器費の比率</t>
    <rPh sb="5" eb="7">
      <t>コウジ</t>
    </rPh>
    <rPh sb="7" eb="9">
      <t>ゲンカ</t>
    </rPh>
    <rPh sb="10" eb="11">
      <t>シ</t>
    </rPh>
    <rPh sb="13" eb="15">
      <t>キキ</t>
    </rPh>
    <rPh sb="15" eb="16">
      <t>ヒ</t>
    </rPh>
    <rPh sb="17" eb="19">
      <t>ヒリツ</t>
    </rPh>
    <phoneticPr fontId="3"/>
  </si>
  <si>
    <t>K ＝</t>
    <phoneticPr fontId="3"/>
  </si>
  <si>
    <t>R ＝</t>
    <phoneticPr fontId="3"/>
  </si>
  <si>
    <t>　　④ 一般管理費等率</t>
    <rPh sb="4" eb="6">
      <t>イッパン</t>
    </rPh>
    <rPh sb="6" eb="9">
      <t>カンリヒ</t>
    </rPh>
    <rPh sb="9" eb="10">
      <t>トウ</t>
    </rPh>
    <rPh sb="10" eb="11">
      <t>リツ</t>
    </rPh>
    <phoneticPr fontId="3"/>
  </si>
  <si>
    <t>Y' ＝ （標準一般管理費等率）×（前払金支出割合補正係数）×（機器費補正係数）</t>
    <rPh sb="6" eb="8">
      <t>ヒョウジュン</t>
    </rPh>
    <rPh sb="8" eb="10">
      <t>イッパン</t>
    </rPh>
    <rPh sb="10" eb="13">
      <t>カンリヒ</t>
    </rPh>
    <rPh sb="13" eb="14">
      <t>トウ</t>
    </rPh>
    <rPh sb="14" eb="15">
      <t>リツ</t>
    </rPh>
    <rPh sb="18" eb="19">
      <t>マエ</t>
    </rPh>
    <rPh sb="19" eb="20">
      <t>ハラ</t>
    </rPh>
    <rPh sb="20" eb="21">
      <t>キン</t>
    </rPh>
    <rPh sb="21" eb="23">
      <t>シシュツ</t>
    </rPh>
    <rPh sb="23" eb="25">
      <t>ワリアイ</t>
    </rPh>
    <rPh sb="25" eb="27">
      <t>ホセイ</t>
    </rPh>
    <rPh sb="27" eb="29">
      <t>ケイスウ</t>
    </rPh>
    <rPh sb="32" eb="34">
      <t>キキ</t>
    </rPh>
    <rPh sb="34" eb="35">
      <t>ヒ</t>
    </rPh>
    <rPh sb="35" eb="37">
      <t>ホセイ</t>
    </rPh>
    <rPh sb="37" eb="39">
      <t>ケイスウ</t>
    </rPh>
    <phoneticPr fontId="3"/>
  </si>
  <si>
    <t>　Y' ： 一般管理費等率（%）</t>
    <rPh sb="6" eb="8">
      <t>イッパン</t>
    </rPh>
    <rPh sb="8" eb="11">
      <t>カンリヒ</t>
    </rPh>
    <rPh sb="11" eb="12">
      <t>トウ</t>
    </rPh>
    <rPh sb="12" eb="13">
      <t>リツ</t>
    </rPh>
    <phoneticPr fontId="3"/>
  </si>
  <si>
    <t>Y' ＝</t>
    <phoneticPr fontId="3"/>
  </si>
  <si>
    <t>直接材料費</t>
    <rPh sb="0" eb="2">
      <t>チョクセツ</t>
    </rPh>
    <rPh sb="2" eb="5">
      <t>ザイリョウヒ</t>
    </rPh>
    <phoneticPr fontId="3"/>
  </si>
  <si>
    <t>弁類</t>
    <rPh sb="0" eb="1">
      <t>ベン</t>
    </rPh>
    <rPh sb="1" eb="2">
      <t>ルイ</t>
    </rPh>
    <phoneticPr fontId="3"/>
  </si>
  <si>
    <t>機械設備明細書第1号</t>
    <rPh sb="0" eb="2">
      <t>キカイ</t>
    </rPh>
    <rPh sb="2" eb="4">
      <t>セツビ</t>
    </rPh>
    <rPh sb="4" eb="7">
      <t>メイサイショ</t>
    </rPh>
    <rPh sb="7" eb="8">
      <t>ダイ</t>
    </rPh>
    <rPh sb="9" eb="10">
      <t>ゴウ</t>
    </rPh>
    <phoneticPr fontId="3"/>
  </si>
  <si>
    <t>機械設備明細書第2号</t>
    <rPh sb="0" eb="2">
      <t>キカイ</t>
    </rPh>
    <rPh sb="2" eb="4">
      <t>セツビ</t>
    </rPh>
    <rPh sb="4" eb="7">
      <t>メイサイショ</t>
    </rPh>
    <rPh sb="7" eb="8">
      <t>ダイ</t>
    </rPh>
    <rPh sb="9" eb="10">
      <t>ゴウ</t>
    </rPh>
    <phoneticPr fontId="3"/>
  </si>
  <si>
    <t>機械設備明細書第3号</t>
    <rPh sb="0" eb="2">
      <t>キカイ</t>
    </rPh>
    <rPh sb="2" eb="4">
      <t>セツビ</t>
    </rPh>
    <rPh sb="4" eb="7">
      <t>メイサイショ</t>
    </rPh>
    <rPh sb="7" eb="8">
      <t>ダイ</t>
    </rPh>
    <rPh sb="9" eb="10">
      <t>ゴウ</t>
    </rPh>
    <phoneticPr fontId="3"/>
  </si>
  <si>
    <t>補助材料費</t>
    <rPh sb="0" eb="2">
      <t>ホジョ</t>
    </rPh>
    <rPh sb="2" eb="5">
      <t>ザイリョウヒ</t>
    </rPh>
    <phoneticPr fontId="3"/>
  </si>
  <si>
    <t>％</t>
    <phoneticPr fontId="3"/>
  </si>
  <si>
    <t>（直接材料費×4%）</t>
    <rPh sb="1" eb="3">
      <t>チョクセツ</t>
    </rPh>
    <rPh sb="3" eb="6">
      <t>ザイリョウヒ</t>
    </rPh>
    <phoneticPr fontId="3"/>
  </si>
  <si>
    <t>労務費</t>
    <rPh sb="0" eb="3">
      <t>ロウムヒ</t>
    </rPh>
    <phoneticPr fontId="3"/>
  </si>
  <si>
    <t>直接経費</t>
    <rPh sb="0" eb="2">
      <t>チョクセツ</t>
    </rPh>
    <rPh sb="2" eb="4">
      <t>ケイヒ</t>
    </rPh>
    <phoneticPr fontId="3"/>
  </si>
  <si>
    <t>機械経費</t>
    <rPh sb="0" eb="2">
      <t>キカイ</t>
    </rPh>
    <rPh sb="2" eb="4">
      <t>ケイヒ</t>
    </rPh>
    <phoneticPr fontId="3"/>
  </si>
  <si>
    <t>（労務費×2%）</t>
    <rPh sb="1" eb="4">
      <t>ロウムヒ</t>
    </rPh>
    <phoneticPr fontId="3"/>
  </si>
  <si>
    <t>（材料費）計</t>
    <rPh sb="1" eb="4">
      <t>ザイリョウヒ</t>
    </rPh>
    <rPh sb="5" eb="6">
      <t>ケイ</t>
    </rPh>
    <phoneticPr fontId="3"/>
  </si>
  <si>
    <t>（労務費）計</t>
    <rPh sb="1" eb="4">
      <t>ロウムヒ</t>
    </rPh>
    <rPh sb="5" eb="6">
      <t>ケイ</t>
    </rPh>
    <phoneticPr fontId="3"/>
  </si>
  <si>
    <t>（直接経費）計</t>
    <rPh sb="1" eb="3">
      <t>チョクセツ</t>
    </rPh>
    <rPh sb="3" eb="5">
      <t>ケイヒ</t>
    </rPh>
    <rPh sb="6" eb="7">
      <t>ケイ</t>
    </rPh>
    <phoneticPr fontId="3"/>
  </si>
  <si>
    <t>（複合工費）計</t>
    <rPh sb="1" eb="3">
      <t>フクゴウ</t>
    </rPh>
    <rPh sb="3" eb="5">
      <t>コウヒ</t>
    </rPh>
    <rPh sb="6" eb="7">
      <t>ケイ</t>
    </rPh>
    <phoneticPr fontId="3"/>
  </si>
  <si>
    <t>（直接工事費）</t>
    <rPh sb="1" eb="3">
      <t>チョクセツ</t>
    </rPh>
    <rPh sb="3" eb="5">
      <t>コウジ</t>
    </rPh>
    <rPh sb="5" eb="6">
      <t>ヒ</t>
    </rPh>
    <phoneticPr fontId="3"/>
  </si>
  <si>
    <t>鶴岡市下水道課</t>
    <rPh sb="0" eb="3">
      <t>ツルオカシ</t>
    </rPh>
    <rPh sb="3" eb="6">
      <t>ゲスイドウ</t>
    </rPh>
    <rPh sb="6" eb="7">
      <t>カ</t>
    </rPh>
    <phoneticPr fontId="3"/>
  </si>
  <si>
    <t>機械設備工</t>
    <rPh sb="0" eb="2">
      <t>キカイ</t>
    </rPh>
    <rPh sb="2" eb="4">
      <t>セツビ</t>
    </rPh>
    <rPh sb="4" eb="5">
      <t>コウ</t>
    </rPh>
    <phoneticPr fontId="3"/>
  </si>
  <si>
    <t>内訳書・明細書・数量計算表</t>
    <rPh sb="0" eb="3">
      <t>ウチワケショ</t>
    </rPh>
    <rPh sb="4" eb="7">
      <t>メイサイショ</t>
    </rPh>
    <rPh sb="8" eb="10">
      <t>スウリョウ</t>
    </rPh>
    <rPh sb="10" eb="12">
      <t>ケイサン</t>
    </rPh>
    <rPh sb="12" eb="13">
      <t>ヒョウ</t>
    </rPh>
    <phoneticPr fontId="3"/>
  </si>
  <si>
    <t>電気設備工</t>
    <rPh sb="0" eb="2">
      <t>デンキ</t>
    </rPh>
    <rPh sb="2" eb="4">
      <t>セツビ</t>
    </rPh>
    <rPh sb="4" eb="5">
      <t>コウ</t>
    </rPh>
    <phoneticPr fontId="3"/>
  </si>
  <si>
    <t>内訳書・明細書・数量計算書</t>
    <rPh sb="0" eb="3">
      <t>ウチワケショ</t>
    </rPh>
    <rPh sb="4" eb="7">
      <t>メイサイショ</t>
    </rPh>
    <rPh sb="8" eb="10">
      <t>スウリョウ</t>
    </rPh>
    <rPh sb="10" eb="13">
      <t>ケイサンショ</t>
    </rPh>
    <phoneticPr fontId="3"/>
  </si>
  <si>
    <t>電気設備工事</t>
    <rPh sb="0" eb="2">
      <t>デンキ</t>
    </rPh>
    <rPh sb="2" eb="4">
      <t>セツビ</t>
    </rPh>
    <rPh sb="4" eb="6">
      <t>コウジ</t>
    </rPh>
    <phoneticPr fontId="3"/>
  </si>
  <si>
    <t>％</t>
    <phoneticPr fontId="3"/>
  </si>
  <si>
    <t>機器間接費</t>
    <rPh sb="0" eb="2">
      <t>キキ</t>
    </rPh>
    <rPh sb="2" eb="4">
      <t>カンセツ</t>
    </rPh>
    <rPh sb="4" eb="5">
      <t>ヒ</t>
    </rPh>
    <phoneticPr fontId="3"/>
  </si>
  <si>
    <t>　機器間接費計</t>
    <rPh sb="1" eb="3">
      <t>キキ</t>
    </rPh>
    <rPh sb="3" eb="5">
      <t>カンセツ</t>
    </rPh>
    <rPh sb="5" eb="6">
      <t>ヒ</t>
    </rPh>
    <rPh sb="6" eb="7">
      <t>ケイ</t>
    </rPh>
    <phoneticPr fontId="3"/>
  </si>
  <si>
    <t>（機器費+工事原価+一般管理費等）</t>
    <rPh sb="1" eb="3">
      <t>キキ</t>
    </rPh>
    <rPh sb="3" eb="4">
      <t>ヒ</t>
    </rPh>
    <rPh sb="5" eb="7">
      <t>コウジ</t>
    </rPh>
    <rPh sb="7" eb="9">
      <t>ゲンカ</t>
    </rPh>
    <rPh sb="10" eb="12">
      <t>イッパン</t>
    </rPh>
    <rPh sb="12" eb="15">
      <t>カンリヒ</t>
    </rPh>
    <rPh sb="15" eb="16">
      <t>トウ</t>
    </rPh>
    <phoneticPr fontId="3"/>
  </si>
  <si>
    <t>　　① 共通仮設費率（その他土木工事(1)）</t>
    <rPh sb="4" eb="6">
      <t>キョウツウ</t>
    </rPh>
    <rPh sb="6" eb="8">
      <t>カセツ</t>
    </rPh>
    <rPh sb="8" eb="9">
      <t>ヒ</t>
    </rPh>
    <rPh sb="9" eb="10">
      <t>リツ</t>
    </rPh>
    <rPh sb="13" eb="14">
      <t>タ</t>
    </rPh>
    <rPh sb="14" eb="16">
      <t>ドボク</t>
    </rPh>
    <rPh sb="16" eb="18">
      <t>コウジ</t>
    </rPh>
    <phoneticPr fontId="3"/>
  </si>
  <si>
    <t>Y ＝ 349.9× X ^-0.1964</t>
    <phoneticPr fontId="3"/>
  </si>
  <si>
    <t>　X ： 対象額（直接工事費+事業損失防止施設費+支給品費+官貸額+準備費に含まれる処分費）</t>
    <rPh sb="5" eb="7">
      <t>タイショウ</t>
    </rPh>
    <rPh sb="7" eb="8">
      <t>ガク</t>
    </rPh>
    <rPh sb="9" eb="11">
      <t>チョクセツ</t>
    </rPh>
    <rPh sb="11" eb="14">
      <t>コウジヒ</t>
    </rPh>
    <rPh sb="15" eb="17">
      <t>ジギョウ</t>
    </rPh>
    <rPh sb="17" eb="19">
      <t>ソンシツ</t>
    </rPh>
    <rPh sb="19" eb="21">
      <t>ボウシ</t>
    </rPh>
    <rPh sb="21" eb="23">
      <t>シセツ</t>
    </rPh>
    <rPh sb="23" eb="24">
      <t>ヒ</t>
    </rPh>
    <rPh sb="25" eb="27">
      <t>シキュウ</t>
    </rPh>
    <rPh sb="27" eb="28">
      <t>ヒン</t>
    </rPh>
    <rPh sb="28" eb="29">
      <t>ヒ</t>
    </rPh>
    <rPh sb="30" eb="31">
      <t>カン</t>
    </rPh>
    <rPh sb="31" eb="32">
      <t>カシ</t>
    </rPh>
    <rPh sb="32" eb="33">
      <t>ガク</t>
    </rPh>
    <rPh sb="34" eb="36">
      <t>ジュンビ</t>
    </rPh>
    <rPh sb="36" eb="37">
      <t>ヒ</t>
    </rPh>
    <rPh sb="38" eb="39">
      <t>フク</t>
    </rPh>
    <rPh sb="42" eb="44">
      <t>ショブン</t>
    </rPh>
    <rPh sb="44" eb="45">
      <t>ヒ</t>
    </rPh>
    <phoneticPr fontId="3"/>
  </si>
  <si>
    <t>X ≦ 3,000,000円は、</t>
    <rPh sb="13" eb="14">
      <t>エン</t>
    </rPh>
    <phoneticPr fontId="3"/>
  </si>
  <si>
    <t>　　① 現場管理費率（その他土木工事(1)）</t>
    <rPh sb="4" eb="6">
      <t>ゲンバ</t>
    </rPh>
    <rPh sb="6" eb="8">
      <t>カンリ</t>
    </rPh>
    <rPh sb="8" eb="9">
      <t>ヒ</t>
    </rPh>
    <rPh sb="9" eb="10">
      <t>リツ</t>
    </rPh>
    <rPh sb="13" eb="14">
      <t>タ</t>
    </rPh>
    <rPh sb="14" eb="16">
      <t>ドボク</t>
    </rPh>
    <rPh sb="16" eb="18">
      <t>コウジ</t>
    </rPh>
    <phoneticPr fontId="3"/>
  </si>
  <si>
    <t>Y ＝ 217.0× X ^-0.1137</t>
    <phoneticPr fontId="3"/>
  </si>
  <si>
    <t>　X ： 対象額（純工事費(直接工事費+共通仮設費)+支給品費+官貸費）</t>
    <rPh sb="5" eb="7">
      <t>タイショウ</t>
    </rPh>
    <rPh sb="7" eb="8">
      <t>ガク</t>
    </rPh>
    <rPh sb="9" eb="10">
      <t>ジュン</t>
    </rPh>
    <rPh sb="10" eb="12">
      <t>コウジ</t>
    </rPh>
    <rPh sb="12" eb="13">
      <t>ヒ</t>
    </rPh>
    <rPh sb="14" eb="16">
      <t>チョクセツ</t>
    </rPh>
    <rPh sb="16" eb="19">
      <t>コウジヒ</t>
    </rPh>
    <rPh sb="20" eb="22">
      <t>キョウツウ</t>
    </rPh>
    <rPh sb="22" eb="24">
      <t>カセツ</t>
    </rPh>
    <rPh sb="24" eb="25">
      <t>ヒ</t>
    </rPh>
    <rPh sb="27" eb="29">
      <t>シキュウ</t>
    </rPh>
    <rPh sb="29" eb="30">
      <t>ヒン</t>
    </rPh>
    <rPh sb="30" eb="31">
      <t>ヒ</t>
    </rPh>
    <rPh sb="32" eb="33">
      <t>カン</t>
    </rPh>
    <rPh sb="33" eb="35">
      <t>タイヒ</t>
    </rPh>
    <phoneticPr fontId="3"/>
  </si>
  <si>
    <t>（機器間接費算定）</t>
    <rPh sb="1" eb="3">
      <t>キキ</t>
    </rPh>
    <rPh sb="3" eb="5">
      <t>カンセツ</t>
    </rPh>
    <rPh sb="5" eb="6">
      <t>ヒ</t>
    </rPh>
    <rPh sb="6" eb="8">
      <t>サンテイ</t>
    </rPh>
    <phoneticPr fontId="3"/>
  </si>
  <si>
    <t>　　① 機器管理費率</t>
    <rPh sb="4" eb="6">
      <t>キキ</t>
    </rPh>
    <rPh sb="6" eb="8">
      <t>カンリ</t>
    </rPh>
    <rPh sb="8" eb="9">
      <t>ヒ</t>
    </rPh>
    <rPh sb="9" eb="10">
      <t>リツ</t>
    </rPh>
    <phoneticPr fontId="3"/>
  </si>
  <si>
    <t>Y ＝ 42380.2× X ^-0.4711</t>
    <phoneticPr fontId="3"/>
  </si>
  <si>
    <t>　Y ： 機器管理費率（%）</t>
    <rPh sb="5" eb="7">
      <t>キキ</t>
    </rPh>
    <rPh sb="7" eb="10">
      <t>カンリヒ</t>
    </rPh>
    <rPh sb="10" eb="11">
      <t>リツ</t>
    </rPh>
    <phoneticPr fontId="3"/>
  </si>
  <si>
    <t>　X ： 対象額（制作工事価格中の機器単体費）</t>
    <rPh sb="5" eb="7">
      <t>タイショウ</t>
    </rPh>
    <rPh sb="7" eb="8">
      <t>ガク</t>
    </rPh>
    <rPh sb="9" eb="11">
      <t>セイサク</t>
    </rPh>
    <rPh sb="11" eb="13">
      <t>コウジ</t>
    </rPh>
    <rPh sb="13" eb="15">
      <t>カカク</t>
    </rPh>
    <rPh sb="15" eb="16">
      <t>チュウ</t>
    </rPh>
    <rPh sb="17" eb="19">
      <t>キキ</t>
    </rPh>
    <rPh sb="19" eb="21">
      <t>タンタイ</t>
    </rPh>
    <rPh sb="21" eb="22">
      <t>ヒ</t>
    </rPh>
    <phoneticPr fontId="3"/>
  </si>
  <si>
    <t>X ≦ 14,000,000円は、</t>
    <rPh sb="14" eb="15">
      <t>エン</t>
    </rPh>
    <phoneticPr fontId="3"/>
  </si>
  <si>
    <t>X ＞ 200,000,000円は、</t>
    <rPh sb="15" eb="16">
      <t>エン</t>
    </rPh>
    <phoneticPr fontId="3"/>
  </si>
  <si>
    <t>　　① 一般管理費等率</t>
    <rPh sb="4" eb="6">
      <t>イッパン</t>
    </rPh>
    <rPh sb="6" eb="9">
      <t>カンリヒ</t>
    </rPh>
    <rPh sb="9" eb="10">
      <t>トウ</t>
    </rPh>
    <rPh sb="10" eb="11">
      <t>リツ</t>
    </rPh>
    <phoneticPr fontId="3"/>
  </si>
  <si>
    <t>　Y ： 一般管理費等率（%）</t>
    <rPh sb="5" eb="7">
      <t>イッパン</t>
    </rPh>
    <rPh sb="7" eb="10">
      <t>カンリヒ</t>
    </rPh>
    <rPh sb="10" eb="11">
      <t>トウ</t>
    </rPh>
    <rPh sb="11" eb="12">
      <t>リツ</t>
    </rPh>
    <phoneticPr fontId="3"/>
  </si>
  <si>
    <t>　　③ 一般管理費等率</t>
    <rPh sb="4" eb="6">
      <t>イッパン</t>
    </rPh>
    <rPh sb="6" eb="9">
      <t>カンリヒ</t>
    </rPh>
    <rPh sb="9" eb="10">
      <t>トウ</t>
    </rPh>
    <rPh sb="10" eb="11">
      <t>リツ</t>
    </rPh>
    <phoneticPr fontId="3"/>
  </si>
  <si>
    <t>Y' ＝ （一般管理費等率）×（前払金支出割合補正係数）</t>
    <rPh sb="6" eb="8">
      <t>イッパン</t>
    </rPh>
    <rPh sb="8" eb="11">
      <t>カンリヒ</t>
    </rPh>
    <rPh sb="11" eb="12">
      <t>トウ</t>
    </rPh>
    <rPh sb="12" eb="13">
      <t>リツ</t>
    </rPh>
    <rPh sb="16" eb="17">
      <t>マエ</t>
    </rPh>
    <rPh sb="17" eb="18">
      <t>ハラ</t>
    </rPh>
    <rPh sb="18" eb="19">
      <t>キン</t>
    </rPh>
    <rPh sb="19" eb="21">
      <t>シシュツ</t>
    </rPh>
    <rPh sb="21" eb="23">
      <t>ワリアイ</t>
    </rPh>
    <rPh sb="23" eb="25">
      <t>ホセイ</t>
    </rPh>
    <rPh sb="25" eb="27">
      <t>ケイスウ</t>
    </rPh>
    <phoneticPr fontId="3"/>
  </si>
  <si>
    <t>電気設備明細書</t>
    <rPh sb="0" eb="2">
      <t>デンキ</t>
    </rPh>
    <rPh sb="2" eb="4">
      <t>セツビ</t>
    </rPh>
    <rPh sb="4" eb="7">
      <t>メイサイショ</t>
    </rPh>
    <phoneticPr fontId="3"/>
  </si>
  <si>
    <t>ポンプ制御盤</t>
    <rPh sb="3" eb="6">
      <t>セイギョバン</t>
    </rPh>
    <phoneticPr fontId="3"/>
  </si>
  <si>
    <t>レベル計</t>
    <rPh sb="3" eb="4">
      <t>ケイ</t>
    </rPh>
    <phoneticPr fontId="3"/>
  </si>
  <si>
    <t>面</t>
    <rPh sb="0" eb="1">
      <t>メン</t>
    </rPh>
    <phoneticPr fontId="3"/>
  </si>
  <si>
    <t>電線・ケーブル類</t>
    <rPh sb="0" eb="2">
      <t>デンセン</t>
    </rPh>
    <rPh sb="7" eb="8">
      <t>ルイ</t>
    </rPh>
    <phoneticPr fontId="3"/>
  </si>
  <si>
    <t>ケーブル</t>
    <phoneticPr fontId="3"/>
  </si>
  <si>
    <t>VVR(SV)5.5-2C
電灯用</t>
    <rPh sb="14" eb="16">
      <t>デントウ</t>
    </rPh>
    <rPh sb="16" eb="17">
      <t>ヨウ</t>
    </rPh>
    <phoneticPr fontId="3"/>
  </si>
  <si>
    <t>電線</t>
    <rPh sb="0" eb="2">
      <t>デンセン</t>
    </rPh>
    <phoneticPr fontId="3"/>
  </si>
  <si>
    <t>IV22.0</t>
    <phoneticPr fontId="3"/>
  </si>
  <si>
    <t>付属材料費率</t>
    <rPh sb="0" eb="2">
      <t>フゾク</t>
    </rPh>
    <rPh sb="2" eb="5">
      <t>ザイリョウヒ</t>
    </rPh>
    <rPh sb="5" eb="6">
      <t>リツ</t>
    </rPh>
    <phoneticPr fontId="3"/>
  </si>
  <si>
    <t>電線管類</t>
    <rPh sb="0" eb="2">
      <t>デンセン</t>
    </rPh>
    <rPh sb="2" eb="3">
      <t>カン</t>
    </rPh>
    <rPh sb="3" eb="4">
      <t>ルイ</t>
    </rPh>
    <phoneticPr fontId="3"/>
  </si>
  <si>
    <t>電線管</t>
    <rPh sb="0" eb="3">
      <t>デンセンカン</t>
    </rPh>
    <phoneticPr fontId="3"/>
  </si>
  <si>
    <t>FEP50</t>
    <phoneticPr fontId="3"/>
  </si>
  <si>
    <t>ｍ</t>
    <phoneticPr fontId="3"/>
  </si>
  <si>
    <t>ベルマウス</t>
    <phoneticPr fontId="3"/>
  </si>
  <si>
    <t>エントランスキャップ</t>
    <phoneticPr fontId="3"/>
  </si>
  <si>
    <t>VE22</t>
    <phoneticPr fontId="3"/>
  </si>
  <si>
    <t>付属材料費
ケーブル・電線類</t>
    <rPh sb="0" eb="2">
      <t>フゾク</t>
    </rPh>
    <rPh sb="2" eb="5">
      <t>ザイリョウヒ</t>
    </rPh>
    <rPh sb="11" eb="13">
      <t>デンセン</t>
    </rPh>
    <rPh sb="13" eb="14">
      <t>ルイ</t>
    </rPh>
    <phoneticPr fontId="3"/>
  </si>
  <si>
    <t>付属材料費
電線管類（接合材料）</t>
    <rPh sb="0" eb="2">
      <t>フゾク</t>
    </rPh>
    <rPh sb="2" eb="5">
      <t>ザイリョウヒ</t>
    </rPh>
    <rPh sb="6" eb="9">
      <t>デンセンカン</t>
    </rPh>
    <rPh sb="9" eb="10">
      <t>ルイ</t>
    </rPh>
    <rPh sb="11" eb="13">
      <t>セツゴウ</t>
    </rPh>
    <rPh sb="13" eb="15">
      <t>ザイリョウ</t>
    </rPh>
    <phoneticPr fontId="3"/>
  </si>
  <si>
    <t>外線・接地材</t>
    <rPh sb="0" eb="2">
      <t>ガイセン</t>
    </rPh>
    <rPh sb="3" eb="5">
      <t>セッチ</t>
    </rPh>
    <rPh sb="5" eb="6">
      <t>ザイ</t>
    </rPh>
    <phoneticPr fontId="3"/>
  </si>
  <si>
    <t>連結式接地棒</t>
    <rPh sb="0" eb="2">
      <t>レンケツ</t>
    </rPh>
    <rPh sb="2" eb="3">
      <t>シキ</t>
    </rPh>
    <rPh sb="3" eb="5">
      <t>セッチ</t>
    </rPh>
    <rPh sb="5" eb="6">
      <t>ボウ</t>
    </rPh>
    <phoneticPr fontId="3"/>
  </si>
  <si>
    <t>連結式接地棒用リート端子</t>
    <rPh sb="0" eb="2">
      <t>レンケツ</t>
    </rPh>
    <rPh sb="2" eb="3">
      <t>シキ</t>
    </rPh>
    <rPh sb="3" eb="5">
      <t>セッチ</t>
    </rPh>
    <rPh sb="5" eb="6">
      <t>ボウ</t>
    </rPh>
    <rPh sb="6" eb="7">
      <t>ヨウ</t>
    </rPh>
    <rPh sb="10" eb="12">
      <t>タンシ</t>
    </rPh>
    <phoneticPr fontId="3"/>
  </si>
  <si>
    <t>Φ10　1,500㎜</t>
    <phoneticPr fontId="3"/>
  </si>
  <si>
    <t>Φ10用　22口　500</t>
    <rPh sb="3" eb="4">
      <t>ヨウ</t>
    </rPh>
    <rPh sb="7" eb="8">
      <t>クチ</t>
    </rPh>
    <phoneticPr fontId="3"/>
  </si>
  <si>
    <t>開閉器類・他材料</t>
    <rPh sb="0" eb="3">
      <t>カイヘイキ</t>
    </rPh>
    <rPh sb="3" eb="4">
      <t>ルイ</t>
    </rPh>
    <rPh sb="5" eb="6">
      <t>ホカ</t>
    </rPh>
    <rPh sb="6" eb="8">
      <t>ザイリョウ</t>
    </rPh>
    <phoneticPr fontId="3"/>
  </si>
  <si>
    <t>引込開閉器盤</t>
    <rPh sb="0" eb="2">
      <t>ヒキコミ</t>
    </rPh>
    <rPh sb="2" eb="5">
      <t>カイヘイキ</t>
    </rPh>
    <rPh sb="5" eb="6">
      <t>バン</t>
    </rPh>
    <phoneticPr fontId="3"/>
  </si>
  <si>
    <t>コンクリート柱</t>
    <rPh sb="6" eb="7">
      <t>ハシラ</t>
    </rPh>
    <phoneticPr fontId="3"/>
  </si>
  <si>
    <t>普通作業員</t>
    <rPh sb="0" eb="2">
      <t>フツウ</t>
    </rPh>
    <rPh sb="2" eb="4">
      <t>サギョウ</t>
    </rPh>
    <rPh sb="4" eb="5">
      <t>イン</t>
    </rPh>
    <phoneticPr fontId="3"/>
  </si>
  <si>
    <t>電工</t>
    <rPh sb="0" eb="2">
      <t>デンコウ</t>
    </rPh>
    <phoneticPr fontId="3"/>
  </si>
  <si>
    <t>労務費集計表（電気設備工）</t>
    <rPh sb="0" eb="3">
      <t>ロウムヒ</t>
    </rPh>
    <rPh sb="3" eb="6">
      <t>シュウケイヒョウ</t>
    </rPh>
    <rPh sb="7" eb="9">
      <t>デンキ</t>
    </rPh>
    <rPh sb="9" eb="11">
      <t>セツビ</t>
    </rPh>
    <rPh sb="11" eb="12">
      <t>コウ</t>
    </rPh>
    <phoneticPr fontId="3"/>
  </si>
  <si>
    <t>技術労務費（据付）</t>
    <rPh sb="0" eb="2">
      <t>ギジュツ</t>
    </rPh>
    <rPh sb="2" eb="5">
      <t>ロウムヒ</t>
    </rPh>
    <rPh sb="6" eb="8">
      <t>スエツケ</t>
    </rPh>
    <phoneticPr fontId="3"/>
  </si>
  <si>
    <t>電気通信技術者</t>
    <rPh sb="0" eb="2">
      <t>デンキ</t>
    </rPh>
    <rPh sb="2" eb="4">
      <t>ツウシン</t>
    </rPh>
    <rPh sb="4" eb="7">
      <t>ギジュツシャ</t>
    </rPh>
    <phoneticPr fontId="3"/>
  </si>
  <si>
    <t>労務費集計表（電気設備工事）</t>
    <rPh sb="0" eb="3">
      <t>ロウムヒ</t>
    </rPh>
    <rPh sb="3" eb="6">
      <t>シュウケイヒョウ</t>
    </rPh>
    <rPh sb="7" eb="9">
      <t>デンキ</t>
    </rPh>
    <rPh sb="9" eb="11">
      <t>セツビ</t>
    </rPh>
    <rPh sb="11" eb="13">
      <t>コウジ</t>
    </rPh>
    <phoneticPr fontId="3"/>
  </si>
  <si>
    <t>技術者(据付)</t>
    <rPh sb="0" eb="3">
      <t>ギジュツシャ</t>
    </rPh>
    <rPh sb="4" eb="6">
      <t>スエツケ</t>
    </rPh>
    <phoneticPr fontId="3"/>
  </si>
  <si>
    <t>技術労務費（単体調整・試験）</t>
    <rPh sb="0" eb="2">
      <t>ギジュツ</t>
    </rPh>
    <rPh sb="2" eb="5">
      <t>ロウムヒ</t>
    </rPh>
    <rPh sb="6" eb="8">
      <t>タンタイ</t>
    </rPh>
    <rPh sb="8" eb="10">
      <t>チョウセイ</t>
    </rPh>
    <rPh sb="11" eb="13">
      <t>シケン</t>
    </rPh>
    <phoneticPr fontId="3"/>
  </si>
  <si>
    <t>技術労務費(据付)</t>
    <rPh sb="0" eb="2">
      <t>ギジュツ</t>
    </rPh>
    <rPh sb="2" eb="5">
      <t>ロウムヒ</t>
    </rPh>
    <rPh sb="6" eb="8">
      <t>スエツケ</t>
    </rPh>
    <phoneticPr fontId="3"/>
  </si>
  <si>
    <t>技術労務費(単体調整・試験)</t>
    <rPh sb="0" eb="2">
      <t>ギジュツ</t>
    </rPh>
    <rPh sb="2" eb="5">
      <t>ロウムヒ</t>
    </rPh>
    <rPh sb="6" eb="8">
      <t>タンタイ</t>
    </rPh>
    <rPh sb="8" eb="10">
      <t>チョウセイ</t>
    </rPh>
    <rPh sb="11" eb="13">
      <t>シケン</t>
    </rPh>
    <phoneticPr fontId="3"/>
  </si>
  <si>
    <t>点検技術者（電気）</t>
    <rPh sb="0" eb="2">
      <t>テンケン</t>
    </rPh>
    <rPh sb="2" eb="5">
      <t>ギジュツシャ</t>
    </rPh>
    <rPh sb="6" eb="8">
      <t>デンキ</t>
    </rPh>
    <phoneticPr fontId="3"/>
  </si>
  <si>
    <t>労務集計表（電気設備工事）</t>
    <rPh sb="0" eb="2">
      <t>ロウム</t>
    </rPh>
    <rPh sb="2" eb="5">
      <t>シュウケイヒョウ</t>
    </rPh>
    <rPh sb="6" eb="8">
      <t>デンキ</t>
    </rPh>
    <rPh sb="8" eb="10">
      <t>セツビ</t>
    </rPh>
    <rPh sb="10" eb="12">
      <t>コウジ</t>
    </rPh>
    <phoneticPr fontId="3"/>
  </si>
  <si>
    <t>技術者(単体調整・試験)</t>
    <rPh sb="0" eb="3">
      <t>ギジュツシャ</t>
    </rPh>
    <rPh sb="4" eb="6">
      <t>タンタイ</t>
    </rPh>
    <rPh sb="6" eb="8">
      <t>チョウセイ</t>
    </rPh>
    <rPh sb="9" eb="11">
      <t>シケン</t>
    </rPh>
    <phoneticPr fontId="3"/>
  </si>
  <si>
    <t>小堅バックホウ掘削積込</t>
    <rPh sb="0" eb="2">
      <t>コガタ</t>
    </rPh>
    <rPh sb="7" eb="9">
      <t>クッサク</t>
    </rPh>
    <rPh sb="9" eb="11">
      <t>ツミコミ</t>
    </rPh>
    <phoneticPr fontId="3"/>
  </si>
  <si>
    <t>BH0.13m3</t>
    <phoneticPr fontId="3"/>
  </si>
  <si>
    <t>機械埋戻</t>
    <rPh sb="0" eb="2">
      <t>キカイ</t>
    </rPh>
    <rPh sb="2" eb="4">
      <t>ウメモドシ</t>
    </rPh>
    <phoneticPr fontId="3"/>
  </si>
  <si>
    <t>BH0.13m3
丘砂</t>
    <rPh sb="9" eb="10">
      <t>オカ</t>
    </rPh>
    <rPh sb="10" eb="11">
      <t>スナ</t>
    </rPh>
    <phoneticPr fontId="3"/>
  </si>
  <si>
    <t>発生土運搬</t>
    <rPh sb="0" eb="3">
      <t>ハッセイド</t>
    </rPh>
    <rPh sb="3" eb="5">
      <t>ウンパン</t>
    </rPh>
    <phoneticPr fontId="3"/>
  </si>
  <si>
    <t>砂基礎</t>
    <rPh sb="0" eb="1">
      <t>スナ</t>
    </rPh>
    <rPh sb="1" eb="3">
      <t>キソ</t>
    </rPh>
    <phoneticPr fontId="3"/>
  </si>
  <si>
    <t>埋設表示シート敷設</t>
    <rPh sb="0" eb="2">
      <t>マイセツ</t>
    </rPh>
    <rPh sb="2" eb="4">
      <t>ヒョウジ</t>
    </rPh>
    <rPh sb="7" eb="9">
      <t>フセツ</t>
    </rPh>
    <phoneticPr fontId="3"/>
  </si>
  <si>
    <t>m</t>
    <phoneticPr fontId="3"/>
  </si>
  <si>
    <t>径67㎜以上80㎜以下</t>
    <rPh sb="0" eb="1">
      <t>ケイ</t>
    </rPh>
    <rPh sb="4" eb="6">
      <t>イジョウ</t>
    </rPh>
    <rPh sb="9" eb="11">
      <t>イカ</t>
    </rPh>
    <phoneticPr fontId="3"/>
  </si>
  <si>
    <t>舗装版切断</t>
    <rPh sb="0" eb="2">
      <t>ホソウ</t>
    </rPh>
    <rPh sb="2" eb="3">
      <t>バン</t>
    </rPh>
    <rPh sb="3" eb="5">
      <t>セツダン</t>
    </rPh>
    <phoneticPr fontId="3"/>
  </si>
  <si>
    <t>電線管類</t>
    <rPh sb="0" eb="3">
      <t>デンセンカン</t>
    </rPh>
    <rPh sb="3" eb="4">
      <t>ルイ</t>
    </rPh>
    <phoneticPr fontId="3"/>
  </si>
  <si>
    <t>電気明細書第1号</t>
    <rPh sb="0" eb="2">
      <t>デンキ</t>
    </rPh>
    <rPh sb="2" eb="5">
      <t>メイサイショ</t>
    </rPh>
    <rPh sb="5" eb="6">
      <t>ダイ</t>
    </rPh>
    <rPh sb="7" eb="8">
      <t>ゴウ</t>
    </rPh>
    <phoneticPr fontId="3"/>
  </si>
  <si>
    <t>電気明細書第2号</t>
    <rPh sb="0" eb="2">
      <t>デンキ</t>
    </rPh>
    <rPh sb="2" eb="5">
      <t>メイサイショ</t>
    </rPh>
    <rPh sb="5" eb="6">
      <t>ダイ</t>
    </rPh>
    <rPh sb="7" eb="8">
      <t>ゴウ</t>
    </rPh>
    <phoneticPr fontId="3"/>
  </si>
  <si>
    <t>電気明細書第3号</t>
    <rPh sb="0" eb="2">
      <t>デンキ</t>
    </rPh>
    <rPh sb="2" eb="5">
      <t>メイサイショ</t>
    </rPh>
    <rPh sb="5" eb="6">
      <t>ダイ</t>
    </rPh>
    <rPh sb="7" eb="8">
      <t>ゴウ</t>
    </rPh>
    <phoneticPr fontId="3"/>
  </si>
  <si>
    <t>電気明細書第5号</t>
    <rPh sb="0" eb="6">
      <t>デンキメイサイショダイ</t>
    </rPh>
    <rPh sb="7" eb="8">
      <t>ゴウ</t>
    </rPh>
    <phoneticPr fontId="3"/>
  </si>
  <si>
    <t>（労務費）計</t>
    <rPh sb="1" eb="3">
      <t>ロウム</t>
    </rPh>
    <rPh sb="3" eb="4">
      <t>ヒ</t>
    </rPh>
    <rPh sb="5" eb="6">
      <t>ケイ</t>
    </rPh>
    <phoneticPr fontId="3"/>
  </si>
  <si>
    <t>電気明細書第6号</t>
    <rPh sb="0" eb="6">
      <t>デンキメイサイショダイ</t>
    </rPh>
    <rPh sb="7" eb="8">
      <t>ゴウ</t>
    </rPh>
    <phoneticPr fontId="3"/>
  </si>
  <si>
    <t>（直接工事費）</t>
    <rPh sb="1" eb="3">
      <t>チョクセツ</t>
    </rPh>
    <rPh sb="3" eb="6">
      <t>コウジヒ</t>
    </rPh>
    <phoneticPr fontId="3"/>
  </si>
  <si>
    <t>本工事</t>
    <rPh sb="0" eb="1">
      <t>ホン</t>
    </rPh>
    <phoneticPr fontId="3"/>
  </si>
  <si>
    <t>労務費集計表　（電気設備）</t>
    <rPh sb="0" eb="2">
      <t>ロウム</t>
    </rPh>
    <rPh sb="2" eb="3">
      <t>ヒ</t>
    </rPh>
    <rPh sb="3" eb="5">
      <t>シュウケイ</t>
    </rPh>
    <rPh sb="5" eb="6">
      <t>ヒョウ</t>
    </rPh>
    <rPh sb="8" eb="10">
      <t>デンキ</t>
    </rPh>
    <rPh sb="10" eb="12">
      <t>セツビ</t>
    </rPh>
    <phoneticPr fontId="3"/>
  </si>
  <si>
    <t>電線・ケーブル類設置工</t>
    <rPh sb="0" eb="2">
      <t>デンセン</t>
    </rPh>
    <rPh sb="7" eb="8">
      <t>ルイ</t>
    </rPh>
    <rPh sb="8" eb="10">
      <t>セッチ</t>
    </rPh>
    <rPh sb="10" eb="11">
      <t>コウ</t>
    </rPh>
    <phoneticPr fontId="3"/>
  </si>
  <si>
    <t>電線管類設置工</t>
    <rPh sb="0" eb="3">
      <t>デンセンカン</t>
    </rPh>
    <rPh sb="3" eb="4">
      <t>ルイ</t>
    </rPh>
    <rPh sb="4" eb="6">
      <t>セッチ</t>
    </rPh>
    <rPh sb="6" eb="7">
      <t>コウ</t>
    </rPh>
    <phoneticPr fontId="3"/>
  </si>
  <si>
    <t>その他資材設置工</t>
    <rPh sb="2" eb="3">
      <t>タ</t>
    </rPh>
    <rPh sb="3" eb="5">
      <t>シザイ</t>
    </rPh>
    <rPh sb="5" eb="7">
      <t>セッチ</t>
    </rPh>
    <rPh sb="7" eb="8">
      <t>コウ</t>
    </rPh>
    <phoneticPr fontId="3"/>
  </si>
  <si>
    <t>調整・試験工</t>
    <rPh sb="0" eb="2">
      <t>チョウセイ</t>
    </rPh>
    <rPh sb="3" eb="5">
      <t>シケン</t>
    </rPh>
    <rPh sb="5" eb="6">
      <t>コウ</t>
    </rPh>
    <phoneticPr fontId="3"/>
  </si>
  <si>
    <t>電線・ケーブル類撤去工</t>
    <rPh sb="0" eb="2">
      <t>デンセン</t>
    </rPh>
    <rPh sb="7" eb="8">
      <t>ルイ</t>
    </rPh>
    <rPh sb="8" eb="10">
      <t>テッキョ</t>
    </rPh>
    <rPh sb="10" eb="11">
      <t>コウ</t>
    </rPh>
    <phoneticPr fontId="3"/>
  </si>
  <si>
    <t>その他資材撤去工</t>
    <rPh sb="2" eb="3">
      <t>タ</t>
    </rPh>
    <rPh sb="3" eb="5">
      <t>シザイ</t>
    </rPh>
    <rPh sb="5" eb="7">
      <t>テッキョ</t>
    </rPh>
    <rPh sb="7" eb="8">
      <t>コウ</t>
    </rPh>
    <phoneticPr fontId="3"/>
  </si>
  <si>
    <t>電　工</t>
    <rPh sb="0" eb="1">
      <t>デン</t>
    </rPh>
    <rPh sb="2" eb="3">
      <t>コウ</t>
    </rPh>
    <phoneticPr fontId="3"/>
  </si>
  <si>
    <t>技術者
（据付）</t>
    <rPh sb="0" eb="3">
      <t>ギジュツシャ</t>
    </rPh>
    <rPh sb="5" eb="7">
      <t>スエツケ</t>
    </rPh>
    <phoneticPr fontId="3"/>
  </si>
  <si>
    <t>技術者
(単体調整・試験)</t>
    <rPh sb="0" eb="3">
      <t>ギジュツシャ</t>
    </rPh>
    <rPh sb="5" eb="7">
      <t>タンタイ</t>
    </rPh>
    <rPh sb="7" eb="9">
      <t>チョウセイ</t>
    </rPh>
    <rPh sb="10" eb="12">
      <t>シケン</t>
    </rPh>
    <phoneticPr fontId="3"/>
  </si>
  <si>
    <t>機器等設置工</t>
    <rPh sb="0" eb="2">
      <t>キキ</t>
    </rPh>
    <rPh sb="2" eb="3">
      <t>トウ</t>
    </rPh>
    <rPh sb="3" eb="5">
      <t>セッチ</t>
    </rPh>
    <rPh sb="5" eb="6">
      <t>コウ</t>
    </rPh>
    <phoneticPr fontId="3"/>
  </si>
  <si>
    <t>ポンプ用制御盤</t>
    <rPh sb="3" eb="4">
      <t>ヨウ</t>
    </rPh>
    <rPh sb="4" eb="7">
      <t>セイギョバン</t>
    </rPh>
    <phoneticPr fontId="3"/>
  </si>
  <si>
    <t>フロート式レベルスイッチ</t>
    <rPh sb="4" eb="5">
      <t>シキ</t>
    </rPh>
    <phoneticPr fontId="3"/>
  </si>
  <si>
    <t>投込圧力式水位計</t>
    <rPh sb="0" eb="1">
      <t>ナ</t>
    </rPh>
    <rPh sb="1" eb="2">
      <t>コ</t>
    </rPh>
    <rPh sb="2" eb="4">
      <t>アツリョク</t>
    </rPh>
    <rPh sb="4" eb="5">
      <t>シキ</t>
    </rPh>
    <rPh sb="5" eb="7">
      <t>スイイ</t>
    </rPh>
    <rPh sb="7" eb="8">
      <t>ケイ</t>
    </rPh>
    <phoneticPr fontId="3"/>
  </si>
  <si>
    <t>補完率</t>
    <rPh sb="0" eb="3">
      <t>ホカンリツ</t>
    </rPh>
    <phoneticPr fontId="3"/>
  </si>
  <si>
    <t>歩掛(人)</t>
    <rPh sb="0" eb="2">
      <t>ブガカリ</t>
    </rPh>
    <rPh sb="3" eb="4">
      <t>ニン</t>
    </rPh>
    <phoneticPr fontId="3"/>
  </si>
  <si>
    <t>名　　　称</t>
    <rPh sb="0" eb="1">
      <t>ナ</t>
    </rPh>
    <rPh sb="4" eb="5">
      <t>ショウ</t>
    </rPh>
    <phoneticPr fontId="3"/>
  </si>
  <si>
    <t>ケーブル（動力）
VVR(SV)5.5-3C</t>
    <rPh sb="5" eb="7">
      <t>ドウリョク</t>
    </rPh>
    <phoneticPr fontId="3"/>
  </si>
  <si>
    <t>ケーブル（動力）
VVR(SV)5.5-2C</t>
    <rPh sb="5" eb="7">
      <t>ドウリョク</t>
    </rPh>
    <phoneticPr fontId="3"/>
  </si>
  <si>
    <t>電線（接地）
IV22.0</t>
    <rPh sb="0" eb="2">
      <t>デンセン</t>
    </rPh>
    <rPh sb="3" eb="5">
      <t>セッチ</t>
    </rPh>
    <phoneticPr fontId="3"/>
  </si>
  <si>
    <t>ケーブル（過熱検知）
CVV1.25-2C</t>
    <rPh sb="5" eb="7">
      <t>カネツ</t>
    </rPh>
    <rPh sb="7" eb="9">
      <t>ケンチ</t>
    </rPh>
    <phoneticPr fontId="3"/>
  </si>
  <si>
    <t>ケーブル（浸水検知）
CVV1.0-1C</t>
    <rPh sb="5" eb="7">
      <t>シンスイ</t>
    </rPh>
    <rPh sb="7" eb="9">
      <t>ケンチ</t>
    </rPh>
    <phoneticPr fontId="3"/>
  </si>
  <si>
    <t>ケーブル（水位計・ﾚﾍﾞﾙｽｲｯﾁ）
CVV-0.75-3C</t>
    <rPh sb="5" eb="8">
      <t>スイイケイ</t>
    </rPh>
    <phoneticPr fontId="3"/>
  </si>
  <si>
    <t>波付硬質ポリエチレン管
FEP50</t>
    <rPh sb="0" eb="1">
      <t>ナミ</t>
    </rPh>
    <rPh sb="1" eb="2">
      <t>ツ</t>
    </rPh>
    <rPh sb="2" eb="4">
      <t>コウシツ</t>
    </rPh>
    <rPh sb="10" eb="11">
      <t>カン</t>
    </rPh>
    <phoneticPr fontId="3"/>
  </si>
  <si>
    <t>コンクリート柱
8.0m</t>
    <rPh sb="6" eb="7">
      <t>ハシラ</t>
    </rPh>
    <phoneticPr fontId="3"/>
  </si>
  <si>
    <t>再使用しない構造物</t>
    <rPh sb="0" eb="3">
      <t>サイシヨウ</t>
    </rPh>
    <rPh sb="6" eb="9">
      <t>コウゾウブツ</t>
    </rPh>
    <phoneticPr fontId="3"/>
  </si>
  <si>
    <t>再使用する構造物</t>
    <rPh sb="0" eb="3">
      <t>サイシヨウ</t>
    </rPh>
    <rPh sb="5" eb="8">
      <t>コウゾウブツ</t>
    </rPh>
    <phoneticPr fontId="3"/>
  </si>
  <si>
    <t>管内配線、10㎜以下</t>
    <rPh sb="0" eb="2">
      <t>カンナイ</t>
    </rPh>
    <rPh sb="2" eb="4">
      <t>ハイセン</t>
    </rPh>
    <rPh sb="8" eb="10">
      <t>イカ</t>
    </rPh>
    <phoneticPr fontId="3"/>
  </si>
  <si>
    <t>管内配線、5㎜以下</t>
    <rPh sb="0" eb="2">
      <t>カンナイ</t>
    </rPh>
    <rPh sb="2" eb="4">
      <t>ハイセン</t>
    </rPh>
    <rPh sb="7" eb="9">
      <t>イカ</t>
    </rPh>
    <phoneticPr fontId="3"/>
  </si>
  <si>
    <t>構内地中、50㎜以下</t>
    <rPh sb="0" eb="2">
      <t>コウナイ</t>
    </rPh>
    <rPh sb="2" eb="4">
      <t>チチュウ</t>
    </rPh>
    <rPh sb="8" eb="10">
      <t>イカ</t>
    </rPh>
    <phoneticPr fontId="3"/>
  </si>
  <si>
    <t>硬質ﾋﾞﾆﾙ管(地中)、36㎜以下</t>
    <rPh sb="0" eb="2">
      <t>コウシツ</t>
    </rPh>
    <rPh sb="6" eb="7">
      <t>カン</t>
    </rPh>
    <rPh sb="8" eb="10">
      <t>チチュウ</t>
    </rPh>
    <rPh sb="15" eb="17">
      <t>イカ</t>
    </rPh>
    <phoneticPr fontId="3"/>
  </si>
  <si>
    <t>D種接地</t>
    <rPh sb="1" eb="2">
      <t>シュ</t>
    </rPh>
    <rPh sb="2" eb="4">
      <t>セッチ</t>
    </rPh>
    <phoneticPr fontId="3"/>
  </si>
  <si>
    <t>接地設置
D種接地</t>
    <rPh sb="0" eb="2">
      <t>セッチ</t>
    </rPh>
    <rPh sb="2" eb="4">
      <t>セッチ</t>
    </rPh>
    <rPh sb="6" eb="7">
      <t>シュ</t>
    </rPh>
    <rPh sb="7" eb="9">
      <t>セッチ</t>
    </rPh>
    <phoneticPr fontId="3"/>
  </si>
  <si>
    <t>極</t>
    <rPh sb="0" eb="1">
      <t>キョク</t>
    </rPh>
    <phoneticPr fontId="3"/>
  </si>
  <si>
    <t>〇 R2土地改良工事積算基準(施設機械)p170</t>
    <rPh sb="4" eb="6">
      <t>トチ</t>
    </rPh>
    <rPh sb="6" eb="8">
      <t>カイリョウ</t>
    </rPh>
    <rPh sb="8" eb="10">
      <t>コウジ</t>
    </rPh>
    <rPh sb="10" eb="12">
      <t>セキサン</t>
    </rPh>
    <rPh sb="12" eb="14">
      <t>キジュン</t>
    </rPh>
    <rPh sb="15" eb="17">
      <t>シセツ</t>
    </rPh>
    <rPh sb="17" eb="19">
      <t>キカイ</t>
    </rPh>
    <phoneticPr fontId="3"/>
  </si>
  <si>
    <t>〇 機械設備類の撤去工事歩掛は、再使用する場合 標準歩掛の60%、再使用しない場合 標準歩掛の40%。（指針p123）</t>
    <rPh sb="2" eb="4">
      <t>キカイ</t>
    </rPh>
    <rPh sb="4" eb="6">
      <t>セツビ</t>
    </rPh>
    <rPh sb="6" eb="7">
      <t>ルイ</t>
    </rPh>
    <rPh sb="8" eb="10">
      <t>テッキョ</t>
    </rPh>
    <rPh sb="10" eb="12">
      <t>コウジ</t>
    </rPh>
    <rPh sb="12" eb="14">
      <t>ブガカリ</t>
    </rPh>
    <rPh sb="16" eb="17">
      <t>サイ</t>
    </rPh>
    <rPh sb="17" eb="19">
      <t>シヨウ</t>
    </rPh>
    <rPh sb="21" eb="23">
      <t>バアイ</t>
    </rPh>
    <rPh sb="24" eb="26">
      <t>ヒョウジュン</t>
    </rPh>
    <rPh sb="26" eb="28">
      <t>ブガカリ</t>
    </rPh>
    <rPh sb="33" eb="34">
      <t>サイ</t>
    </rPh>
    <rPh sb="34" eb="36">
      <t>シヨウ</t>
    </rPh>
    <rPh sb="39" eb="41">
      <t>バアイ</t>
    </rPh>
    <rPh sb="42" eb="44">
      <t>ヒョウジュン</t>
    </rPh>
    <rPh sb="44" eb="46">
      <t>ブガカリ</t>
    </rPh>
    <rPh sb="52" eb="54">
      <t>シシン</t>
    </rPh>
    <phoneticPr fontId="3"/>
  </si>
  <si>
    <t>〇 機械設備類の撤去工事歩掛は、再使用する場合 標準歩掛の60%、再使用しない場合 標準歩掛の40%。（指針p123）</t>
    <rPh sb="52" eb="54">
      <t>シシン</t>
    </rPh>
    <phoneticPr fontId="3"/>
  </si>
  <si>
    <t>〇 機械設備類の撤去工事歩掛は、再使用する場合 標準歩掛の50%、再使用しない場合 標準歩掛の20%（積算基準p170）</t>
    <rPh sb="2" eb="4">
      <t>キカイ</t>
    </rPh>
    <rPh sb="4" eb="6">
      <t>セツビ</t>
    </rPh>
    <rPh sb="6" eb="7">
      <t>ルイ</t>
    </rPh>
    <rPh sb="8" eb="10">
      <t>テッキョ</t>
    </rPh>
    <rPh sb="10" eb="12">
      <t>コウジ</t>
    </rPh>
    <rPh sb="12" eb="14">
      <t>ブガカリ</t>
    </rPh>
    <rPh sb="16" eb="19">
      <t>サイシヨウ</t>
    </rPh>
    <rPh sb="21" eb="23">
      <t>バアイ</t>
    </rPh>
    <rPh sb="24" eb="26">
      <t>ヒョウジュン</t>
    </rPh>
    <rPh sb="26" eb="28">
      <t>ブガカリ</t>
    </rPh>
    <rPh sb="33" eb="36">
      <t>サイシヨウ</t>
    </rPh>
    <rPh sb="39" eb="41">
      <t>バアイ</t>
    </rPh>
    <rPh sb="42" eb="44">
      <t>ヒョウジュン</t>
    </rPh>
    <rPh sb="44" eb="46">
      <t>ブガカリ</t>
    </rPh>
    <rPh sb="51" eb="53">
      <t>セキサン</t>
    </rPh>
    <rPh sb="53" eb="55">
      <t>キジュン</t>
    </rPh>
    <phoneticPr fontId="3"/>
  </si>
  <si>
    <t>〇 再使用しない場合において、据付の歩掛が技術者及び技術員のみの場合は、技術者及び技術員を電工に置き換えて20%形状する。</t>
    <rPh sb="2" eb="5">
      <t>サイシヨウ</t>
    </rPh>
    <rPh sb="8" eb="10">
      <t>バアイ</t>
    </rPh>
    <rPh sb="15" eb="17">
      <t>スエツケ</t>
    </rPh>
    <rPh sb="18" eb="20">
      <t>ブガカリ</t>
    </rPh>
    <rPh sb="21" eb="24">
      <t>ギジュツシャ</t>
    </rPh>
    <rPh sb="24" eb="25">
      <t>オヨ</t>
    </rPh>
    <rPh sb="26" eb="28">
      <t>ギジュツ</t>
    </rPh>
    <rPh sb="28" eb="29">
      <t>イン</t>
    </rPh>
    <rPh sb="32" eb="34">
      <t>バアイ</t>
    </rPh>
    <rPh sb="36" eb="39">
      <t>ギジュツシャ</t>
    </rPh>
    <rPh sb="39" eb="40">
      <t>オヨ</t>
    </rPh>
    <rPh sb="41" eb="43">
      <t>ギジュツ</t>
    </rPh>
    <rPh sb="43" eb="44">
      <t>イン</t>
    </rPh>
    <rPh sb="45" eb="47">
      <t>デンコウ</t>
    </rPh>
    <rPh sb="48" eb="49">
      <t>オ</t>
    </rPh>
    <rPh sb="50" eb="51">
      <t>カ</t>
    </rPh>
    <rPh sb="56" eb="58">
      <t>ケイジョウ</t>
    </rPh>
    <phoneticPr fontId="3"/>
  </si>
  <si>
    <t>数量集計表（電気設備）</t>
    <rPh sb="0" eb="2">
      <t>スウリョウ</t>
    </rPh>
    <rPh sb="2" eb="5">
      <t>シュウケイヒョウ</t>
    </rPh>
    <rPh sb="6" eb="8">
      <t>デンキ</t>
    </rPh>
    <rPh sb="8" eb="10">
      <t>セツビ</t>
    </rPh>
    <phoneticPr fontId="3"/>
  </si>
  <si>
    <t>水位計</t>
    <rPh sb="0" eb="3">
      <t>スイイケイ</t>
    </rPh>
    <phoneticPr fontId="3"/>
  </si>
  <si>
    <t>IV22.0
接地用</t>
    <rPh sb="7" eb="10">
      <t>セッチヨウ</t>
    </rPh>
    <phoneticPr fontId="3"/>
  </si>
  <si>
    <t>CVV1.25-2C
過熱検知用</t>
    <rPh sb="11" eb="13">
      <t>カネツ</t>
    </rPh>
    <rPh sb="13" eb="15">
      <t>ケンチ</t>
    </rPh>
    <rPh sb="15" eb="16">
      <t>ヨウ</t>
    </rPh>
    <phoneticPr fontId="3"/>
  </si>
  <si>
    <t>CVV1.0-1C
浸水検知用</t>
    <rPh sb="10" eb="12">
      <t>シンスイ</t>
    </rPh>
    <rPh sb="12" eb="14">
      <t>ケンチ</t>
    </rPh>
    <rPh sb="14" eb="15">
      <t>ヨウ</t>
    </rPh>
    <phoneticPr fontId="3"/>
  </si>
  <si>
    <t>波付硬質ポリエチレン管</t>
    <rPh sb="0" eb="1">
      <t>ナミ</t>
    </rPh>
    <rPh sb="1" eb="2">
      <t>ツ</t>
    </rPh>
    <rPh sb="2" eb="4">
      <t>コウシツ</t>
    </rPh>
    <rPh sb="10" eb="11">
      <t>カン</t>
    </rPh>
    <phoneticPr fontId="3"/>
  </si>
  <si>
    <t>ベルマウス</t>
    <phoneticPr fontId="3"/>
  </si>
  <si>
    <t>FEP50用</t>
    <rPh sb="5" eb="6">
      <t>ヨウ</t>
    </rPh>
    <phoneticPr fontId="3"/>
  </si>
  <si>
    <t>硬質ビニル電線管</t>
    <rPh sb="0" eb="2">
      <t>コウシツ</t>
    </rPh>
    <rPh sb="5" eb="7">
      <t>デンセン</t>
    </rPh>
    <rPh sb="7" eb="8">
      <t>カン</t>
    </rPh>
    <phoneticPr fontId="3"/>
  </si>
  <si>
    <t>接地棒</t>
    <rPh sb="0" eb="2">
      <t>セッチ</t>
    </rPh>
    <rPh sb="2" eb="3">
      <t>ボウ</t>
    </rPh>
    <phoneticPr fontId="3"/>
  </si>
  <si>
    <t>連結式接地棒用リード端子</t>
    <rPh sb="0" eb="2">
      <t>レンケツ</t>
    </rPh>
    <rPh sb="2" eb="3">
      <t>シキ</t>
    </rPh>
    <rPh sb="3" eb="5">
      <t>セッチ</t>
    </rPh>
    <rPh sb="5" eb="6">
      <t>ボウ</t>
    </rPh>
    <rPh sb="6" eb="7">
      <t>ヨウ</t>
    </rPh>
    <rPh sb="10" eb="12">
      <t>タンシ</t>
    </rPh>
    <phoneticPr fontId="3"/>
  </si>
  <si>
    <t>開閉器類・その他材料</t>
    <rPh sb="0" eb="3">
      <t>カイヘイキ</t>
    </rPh>
    <rPh sb="3" eb="4">
      <t>ルイ</t>
    </rPh>
    <rPh sb="7" eb="8">
      <t>タ</t>
    </rPh>
    <rPh sb="8" eb="10">
      <t>ザイリョウ</t>
    </rPh>
    <phoneticPr fontId="3"/>
  </si>
  <si>
    <t>数量集計表（電気設備・撤去）</t>
    <rPh sb="0" eb="2">
      <t>スウリョウ</t>
    </rPh>
    <rPh sb="2" eb="5">
      <t>シュウケイヒョウ</t>
    </rPh>
    <rPh sb="6" eb="8">
      <t>デンキ</t>
    </rPh>
    <rPh sb="8" eb="10">
      <t>セツビ</t>
    </rPh>
    <rPh sb="11" eb="13">
      <t>テッキョ</t>
    </rPh>
    <phoneticPr fontId="3"/>
  </si>
  <si>
    <t>埋設表示シート</t>
    <rPh sb="0" eb="2">
      <t>マイセツ</t>
    </rPh>
    <rPh sb="2" eb="4">
      <t>ヒョウジ</t>
    </rPh>
    <phoneticPr fontId="3"/>
  </si>
  <si>
    <t>舗装版破砕</t>
    <rPh sb="0" eb="2">
      <t>ホソウ</t>
    </rPh>
    <rPh sb="2" eb="3">
      <t>バン</t>
    </rPh>
    <rPh sb="3" eb="5">
      <t>ハサイ</t>
    </rPh>
    <phoneticPr fontId="3"/>
  </si>
  <si>
    <t>殻運搬処理</t>
    <rPh sb="0" eb="1">
      <t>ガラ</t>
    </rPh>
    <rPh sb="1" eb="3">
      <t>ウンパン</t>
    </rPh>
    <rPh sb="3" eb="5">
      <t>ショリ</t>
    </rPh>
    <phoneticPr fontId="3"/>
  </si>
  <si>
    <t>表層（仮復旧）</t>
    <rPh sb="0" eb="2">
      <t>ヒョウソウ</t>
    </rPh>
    <rPh sb="3" eb="4">
      <t>カリ</t>
    </rPh>
    <rPh sb="4" eb="6">
      <t>フッキュウ</t>
    </rPh>
    <phoneticPr fontId="3"/>
  </si>
  <si>
    <t>下層路盤</t>
    <rPh sb="0" eb="2">
      <t>カソウ</t>
    </rPh>
    <rPh sb="2" eb="4">
      <t>ロバン</t>
    </rPh>
    <phoneticPr fontId="3"/>
  </si>
  <si>
    <t>上層路盤</t>
    <rPh sb="0" eb="2">
      <t>ジョウソウ</t>
    </rPh>
    <rPh sb="2" eb="4">
      <t>ロバン</t>
    </rPh>
    <phoneticPr fontId="3"/>
  </si>
  <si>
    <t>BH0.13m3</t>
    <phoneticPr fontId="3"/>
  </si>
  <si>
    <t>Dt2.0t　L=4.0km</t>
    <phoneticPr fontId="3"/>
  </si>
  <si>
    <t>丘砂
t=10㎝</t>
    <rPh sb="0" eb="1">
      <t>オカ</t>
    </rPh>
    <rPh sb="1" eb="2">
      <t>スナ</t>
    </rPh>
    <phoneticPr fontId="3"/>
  </si>
  <si>
    <t>20㎝以下</t>
    <rPh sb="3" eb="5">
      <t>イカ</t>
    </rPh>
    <phoneticPr fontId="3"/>
  </si>
  <si>
    <t>10㎝以下</t>
    <rPh sb="3" eb="5">
      <t>イカ</t>
    </rPh>
    <phoneticPr fontId="3"/>
  </si>
  <si>
    <t>M-40　t=15㎝</t>
    <phoneticPr fontId="3"/>
  </si>
  <si>
    <t>複合工費（電気設備撤去）</t>
    <rPh sb="0" eb="2">
      <t>フクゴウ</t>
    </rPh>
    <rPh sb="2" eb="4">
      <t>コウヒ</t>
    </rPh>
    <rPh sb="5" eb="7">
      <t>デンキ</t>
    </rPh>
    <rPh sb="7" eb="9">
      <t>セツビ</t>
    </rPh>
    <rPh sb="9" eb="11">
      <t>テッキョ</t>
    </rPh>
    <phoneticPr fontId="3"/>
  </si>
  <si>
    <t>自立型制御盤</t>
    <rPh sb="0" eb="3">
      <t>ジリツガタ</t>
    </rPh>
    <rPh sb="3" eb="6">
      <t>セイギョバン</t>
    </rPh>
    <phoneticPr fontId="3"/>
  </si>
  <si>
    <t>動力用200V</t>
    <rPh sb="0" eb="3">
      <t>ドウリョクヨウ</t>
    </rPh>
    <phoneticPr fontId="18"/>
  </si>
  <si>
    <t>電灯用100V</t>
    <rPh sb="0" eb="3">
      <t>デントウヨウ</t>
    </rPh>
    <phoneticPr fontId="18"/>
  </si>
  <si>
    <t>上段：当初</t>
    <rPh sb="0" eb="2">
      <t>ジョウダン</t>
    </rPh>
    <rPh sb="3" eb="5">
      <t>トウショ</t>
    </rPh>
    <phoneticPr fontId="18"/>
  </si>
  <si>
    <t>下段：変更</t>
    <rPh sb="0" eb="2">
      <t>ゲダン</t>
    </rPh>
    <rPh sb="3" eb="5">
      <t>ヘンコウ</t>
    </rPh>
    <phoneticPr fontId="18"/>
  </si>
  <si>
    <t>　約40㎝下がり</t>
    <rPh sb="1" eb="2">
      <t>ヤク</t>
    </rPh>
    <rPh sb="5" eb="6">
      <t>サ</t>
    </rPh>
    <phoneticPr fontId="18"/>
  </si>
  <si>
    <t>【電線管】</t>
    <rPh sb="1" eb="3">
      <t>デンセン</t>
    </rPh>
    <rPh sb="3" eb="4">
      <t>カン</t>
    </rPh>
    <phoneticPr fontId="18"/>
  </si>
  <si>
    <t>VE22</t>
    <phoneticPr fontId="18"/>
  </si>
  <si>
    <t>【電線】</t>
    <rPh sb="1" eb="2">
      <t>デン</t>
    </rPh>
    <rPh sb="2" eb="3">
      <t>セン</t>
    </rPh>
    <phoneticPr fontId="18"/>
  </si>
  <si>
    <t>SV5.5-3C</t>
    <phoneticPr fontId="18"/>
  </si>
  <si>
    <t>SV5.5-2C</t>
    <phoneticPr fontId="18"/>
  </si>
  <si>
    <t>電力量計</t>
    <rPh sb="0" eb="2">
      <t>デンリョク</t>
    </rPh>
    <rPh sb="2" eb="3">
      <t>リョウ</t>
    </rPh>
    <rPh sb="3" eb="4">
      <t>ケイ</t>
    </rPh>
    <phoneticPr fontId="18"/>
  </si>
  <si>
    <t>集合計器函</t>
    <phoneticPr fontId="18"/>
  </si>
  <si>
    <t>配線用遮断器</t>
    <rPh sb="0" eb="3">
      <t>ハイセンヨウ</t>
    </rPh>
    <rPh sb="3" eb="6">
      <t>シャダンキ</t>
    </rPh>
    <phoneticPr fontId="18"/>
  </si>
  <si>
    <t>VE:硬質ﾋﾞﾆﾙ電線管</t>
  </si>
  <si>
    <t>FEP:波付硬質ﾎﾟﾘｴﾁﾚﾝ管</t>
  </si>
  <si>
    <t/>
  </si>
  <si>
    <t>VVR(SV):600V ﾋﾞﾆﾙ絶縁ｼｰｽｹｰﾌﾞﾙ</t>
  </si>
  <si>
    <t>IV:600V ﾋﾞﾆﾙ絶縁電線</t>
  </si>
  <si>
    <t>CPEV:一般用通信ｹｰﾌﾞﾙ</t>
  </si>
  <si>
    <t>CPEV:(市内対ﾎﾟﾘｴﾁﾚﾝ絶縁ｼｰｽｹｰﾌﾞﾙ)</t>
  </si>
  <si>
    <t>VCT:600V ﾋﾞﾆﾙ絶縁ﾋﾞﾆﾙｷｬﾌﾞﾀｲﾔｹｰﾌﾞﾙ</t>
  </si>
  <si>
    <t>CVV:600V 制御用ﾋﾞﾆﾙ絶縁ﾋﾞﾆﾙｼｰｽｹｰﾌﾞﾙ</t>
  </si>
  <si>
    <t>FEP50</t>
    <phoneticPr fontId="18"/>
  </si>
  <si>
    <t>FEP50</t>
    <phoneticPr fontId="18"/>
  </si>
  <si>
    <t>VE36</t>
    <phoneticPr fontId="18"/>
  </si>
  <si>
    <t>ﾎﾟﾝﾌﾟｹｰﾌﾞﾙ ⇒</t>
    <phoneticPr fontId="18"/>
  </si>
  <si>
    <t>VCT1.25-4C</t>
    <phoneticPr fontId="18"/>
  </si>
  <si>
    <t>IV22.0</t>
    <phoneticPr fontId="18"/>
  </si>
  <si>
    <t>過熱検知ｹｰﾌﾞﾙ ⇒</t>
    <rPh sb="0" eb="2">
      <t>カネツ</t>
    </rPh>
    <rPh sb="2" eb="4">
      <t>ケンチ</t>
    </rPh>
    <phoneticPr fontId="18"/>
  </si>
  <si>
    <t>CVV1.25-2C</t>
    <phoneticPr fontId="18"/>
  </si>
  <si>
    <t>CVV0.75-3C</t>
    <phoneticPr fontId="18"/>
  </si>
  <si>
    <t>浸水検知ｹｰﾌﾞﾙ ⇒</t>
    <rPh sb="0" eb="2">
      <t>シンスイ</t>
    </rPh>
    <rPh sb="2" eb="4">
      <t>ケンチ</t>
    </rPh>
    <phoneticPr fontId="18"/>
  </si>
  <si>
    <t>CVV2.0-1C</t>
    <phoneticPr fontId="18"/>
  </si>
  <si>
    <t>管内電線長※1 ⇒</t>
    <rPh sb="0" eb="1">
      <t>カン</t>
    </rPh>
    <rPh sb="1" eb="2">
      <t>ナイ</t>
    </rPh>
    <rPh sb="2" eb="4">
      <t>デンセン</t>
    </rPh>
    <rPh sb="4" eb="5">
      <t>チョウ</t>
    </rPh>
    <phoneticPr fontId="18"/>
  </si>
  <si>
    <t>ﾏﾝﾎｰﾙ内電線長※2 ⇒</t>
    <rPh sb="5" eb="6">
      <t>ナイ</t>
    </rPh>
    <rPh sb="6" eb="8">
      <t>デンセン</t>
    </rPh>
    <rPh sb="8" eb="9">
      <t>チョウ</t>
    </rPh>
    <phoneticPr fontId="18"/>
  </si>
  <si>
    <t>ﾏﾝﾎｰﾙ内余長※3 ⇒</t>
    <rPh sb="5" eb="6">
      <t>ナイ</t>
    </rPh>
    <rPh sb="6" eb="7">
      <t>ヨ</t>
    </rPh>
    <rPh sb="7" eb="8">
      <t>チョウ</t>
    </rPh>
    <phoneticPr fontId="18"/>
  </si>
  <si>
    <t>※1 制御盤～ﾏﾝﾎｰﾙまでの延長</t>
    <rPh sb="3" eb="5">
      <t>セイギョ</t>
    </rPh>
    <rPh sb="5" eb="6">
      <t>バン</t>
    </rPh>
    <rPh sb="15" eb="17">
      <t>エンチョウ</t>
    </rPh>
    <phoneticPr fontId="18"/>
  </si>
  <si>
    <t>※2 ﾏﾝﾎｰﾙ天端より1m下端から</t>
    <rPh sb="8" eb="10">
      <t>テンバ</t>
    </rPh>
    <rPh sb="14" eb="16">
      <t>シタバ</t>
    </rPh>
    <phoneticPr fontId="18"/>
  </si>
  <si>
    <t>総電線長 ⇒</t>
    <rPh sb="0" eb="1">
      <t>ソウ</t>
    </rPh>
    <rPh sb="1" eb="3">
      <t>デンセン</t>
    </rPh>
    <rPh sb="3" eb="4">
      <t>チョウ</t>
    </rPh>
    <phoneticPr fontId="18"/>
  </si>
  <si>
    <t>※3 ﾏﾝﾎｰﾙ内余長は3.0mを標準</t>
    <rPh sb="8" eb="9">
      <t>ナイ</t>
    </rPh>
    <rPh sb="9" eb="10">
      <t>ヨ</t>
    </rPh>
    <rPh sb="10" eb="11">
      <t>ナガ</t>
    </rPh>
    <rPh sb="17" eb="19">
      <t>ヒョウジュン</t>
    </rPh>
    <phoneticPr fontId="18"/>
  </si>
  <si>
    <t xml:space="preserve">       汚水ﾎﾟﾝﾌﾟ付属ｹｰﾌﾞﾙ ×3本</t>
    <rPh sb="7" eb="8">
      <t>オ</t>
    </rPh>
    <rPh sb="8" eb="9">
      <t>スイ</t>
    </rPh>
    <rPh sb="14" eb="16">
      <t>フゾク</t>
    </rPh>
    <rPh sb="24" eb="25">
      <t>ホン</t>
    </rPh>
    <phoneticPr fontId="18"/>
  </si>
  <si>
    <t xml:space="preserve">          ① ﾎﾟﾝﾌﾟｹｰﾌﾞﾙ</t>
    <phoneticPr fontId="18"/>
  </si>
  <si>
    <t xml:space="preserve">          ② 過熱検知ｹｰﾌﾞﾙ</t>
    <rPh sb="12" eb="14">
      <t>カネツ</t>
    </rPh>
    <rPh sb="14" eb="16">
      <t>ケンチ</t>
    </rPh>
    <phoneticPr fontId="18"/>
  </si>
  <si>
    <t xml:space="preserve">          ③ 浸水検知ｹｰﾌﾞﾙ</t>
    <rPh sb="12" eb="14">
      <t>シンスイ</t>
    </rPh>
    <rPh sb="14" eb="16">
      <t>ケンチ</t>
    </rPh>
    <phoneticPr fontId="18"/>
  </si>
  <si>
    <r>
      <rPr>
        <sz val="8"/>
        <color indexed="9"/>
        <rFont val="游ゴシック"/>
        <family val="3"/>
        <charset val="128"/>
        <scheme val="minor"/>
      </rPr>
      <t xml:space="preserve">※2 </t>
    </r>
    <r>
      <rPr>
        <sz val="8"/>
        <rFont val="游ゴシック"/>
        <family val="3"/>
        <charset val="128"/>
        <scheme val="minor"/>
      </rPr>
      <t>ﾎﾟﾝﾌﾟまでの延長</t>
    </r>
    <rPh sb="11" eb="13">
      <t>エンチョウ</t>
    </rPh>
    <phoneticPr fontId="18"/>
  </si>
  <si>
    <t>ベルマウス</t>
    <phoneticPr fontId="3"/>
  </si>
  <si>
    <t>機場名</t>
    <rPh sb="0" eb="2">
      <t>キジョウ</t>
    </rPh>
    <rPh sb="2" eb="3">
      <t>メイ</t>
    </rPh>
    <phoneticPr fontId="3"/>
  </si>
  <si>
    <t>機場名：</t>
    <rPh sb="0" eb="2">
      <t>キジョウ</t>
    </rPh>
    <rPh sb="2" eb="3">
      <t>メイ</t>
    </rPh>
    <phoneticPr fontId="3"/>
  </si>
  <si>
    <t>ポンプ出力：</t>
    <rPh sb="3" eb="5">
      <t>シュツリョク</t>
    </rPh>
    <phoneticPr fontId="3"/>
  </si>
  <si>
    <t>2.20kw</t>
    <phoneticPr fontId="3"/>
  </si>
  <si>
    <t>m</t>
    <phoneticPr fontId="3"/>
  </si>
  <si>
    <t xml:space="preserve">エントランスキャップ </t>
    <phoneticPr fontId="18"/>
  </si>
  <si>
    <t xml:space="preserve">エントランスキャップ </t>
    <phoneticPr fontId="3"/>
  </si>
  <si>
    <t>【電　線】</t>
    <phoneticPr fontId="3"/>
  </si>
  <si>
    <t xml:space="preserve">       水位計等付属ｹｰﾌﾞﾙ ×2本</t>
    <rPh sb="7" eb="9">
      <t>スイイ</t>
    </rPh>
    <rPh sb="9" eb="10">
      <t>ケイ</t>
    </rPh>
    <rPh sb="10" eb="11">
      <t>トウ</t>
    </rPh>
    <rPh sb="11" eb="13">
      <t>フゾク</t>
    </rPh>
    <rPh sb="21" eb="22">
      <t>ホン</t>
    </rPh>
    <phoneticPr fontId="18"/>
  </si>
  <si>
    <t xml:space="preserve">          ① 水位計ｹｰﾌﾞﾙ(投込圧力式)</t>
    <rPh sb="12" eb="15">
      <t>スイイケイ</t>
    </rPh>
    <rPh sb="21" eb="23">
      <t>ナゲコ</t>
    </rPh>
    <rPh sb="23" eb="25">
      <t>アツリョク</t>
    </rPh>
    <rPh sb="25" eb="26">
      <t>シキ</t>
    </rPh>
    <phoneticPr fontId="18"/>
  </si>
  <si>
    <t xml:space="preserve">          ② ﾚﾍﾞﾙ計ｹｰﾌﾞﾙ(ﾌﾛｰﾄ式ﾚﾍﾞﾙｽｲｯﾁ)</t>
    <rPh sb="16" eb="17">
      <t>ケイ</t>
    </rPh>
    <rPh sb="27" eb="28">
      <t>シキ</t>
    </rPh>
    <phoneticPr fontId="18"/>
  </si>
  <si>
    <t>水位計/ﾚﾍﾞﾙ計</t>
    <rPh sb="0" eb="2">
      <t>スイイ</t>
    </rPh>
    <rPh sb="2" eb="3">
      <t>ケイ</t>
    </rPh>
    <rPh sb="8" eb="9">
      <t>ケイ</t>
    </rPh>
    <phoneticPr fontId="18"/>
  </si>
  <si>
    <t>No.1
汚水汚物ﾎﾟﾝﾌﾟ</t>
    <rPh sb="5" eb="7">
      <t>オスイ</t>
    </rPh>
    <rPh sb="7" eb="9">
      <t>オブツ</t>
    </rPh>
    <phoneticPr fontId="18"/>
  </si>
  <si>
    <t>No.2
汚水汚物ﾎﾟﾝﾌﾟ</t>
    <rPh sb="5" eb="7">
      <t>オスイ</t>
    </rPh>
    <rPh sb="7" eb="9">
      <t>オブツ</t>
    </rPh>
    <phoneticPr fontId="18"/>
  </si>
  <si>
    <t>マンホールポンプ用制御盤（自立型）</t>
    <rPh sb="8" eb="9">
      <t>ヨウ</t>
    </rPh>
    <rPh sb="9" eb="11">
      <t>セイギョ</t>
    </rPh>
    <rPh sb="11" eb="12">
      <t>バン</t>
    </rPh>
    <rPh sb="13" eb="15">
      <t>ジリツ</t>
    </rPh>
    <rPh sb="15" eb="16">
      <t>ガタ</t>
    </rPh>
    <phoneticPr fontId="18"/>
  </si>
  <si>
    <t>マンホールポンプ用制御盤（装柱型）</t>
    <rPh sb="8" eb="9">
      <t>ヨウ</t>
    </rPh>
    <rPh sb="9" eb="11">
      <t>セイギョ</t>
    </rPh>
    <rPh sb="11" eb="12">
      <t>バン</t>
    </rPh>
    <rPh sb="13" eb="15">
      <t>ソウチュウ</t>
    </rPh>
    <rPh sb="15" eb="16">
      <t>ガタ</t>
    </rPh>
    <rPh sb="16" eb="17">
      <t>タテガタ</t>
    </rPh>
    <phoneticPr fontId="18"/>
  </si>
  <si>
    <t>電気設備工(電線管及び電線数量図)　装柱型制御盤</t>
    <rPh sb="0" eb="2">
      <t>デンキ</t>
    </rPh>
    <rPh sb="2" eb="4">
      <t>セツビ</t>
    </rPh>
    <rPh sb="4" eb="5">
      <t>コウ</t>
    </rPh>
    <rPh sb="6" eb="8">
      <t>デンセン</t>
    </rPh>
    <rPh sb="8" eb="9">
      <t>カン</t>
    </rPh>
    <rPh sb="9" eb="10">
      <t>オヨ</t>
    </rPh>
    <rPh sb="11" eb="13">
      <t>デンセン</t>
    </rPh>
    <rPh sb="13" eb="15">
      <t>スウリョウ</t>
    </rPh>
    <rPh sb="15" eb="16">
      <t>ズ</t>
    </rPh>
    <rPh sb="18" eb="20">
      <t>ソウチュウ</t>
    </rPh>
    <rPh sb="20" eb="21">
      <t>ガタ</t>
    </rPh>
    <rPh sb="21" eb="24">
      <t>セイギョバン</t>
    </rPh>
    <phoneticPr fontId="18"/>
  </si>
  <si>
    <t>電気設備工(電線管及び電線数量図)　自立型制御盤</t>
    <rPh sb="0" eb="2">
      <t>デンキ</t>
    </rPh>
    <rPh sb="2" eb="4">
      <t>セツビ</t>
    </rPh>
    <rPh sb="4" eb="5">
      <t>コウ</t>
    </rPh>
    <rPh sb="6" eb="8">
      <t>デンセン</t>
    </rPh>
    <rPh sb="8" eb="9">
      <t>カン</t>
    </rPh>
    <rPh sb="9" eb="10">
      <t>オヨ</t>
    </rPh>
    <rPh sb="11" eb="13">
      <t>デンセン</t>
    </rPh>
    <rPh sb="13" eb="15">
      <t>スウリョウ</t>
    </rPh>
    <rPh sb="15" eb="16">
      <t>ズ</t>
    </rPh>
    <rPh sb="18" eb="21">
      <t>ジリツガタ</t>
    </rPh>
    <rPh sb="21" eb="24">
      <t>セイギョバン</t>
    </rPh>
    <phoneticPr fontId="18"/>
  </si>
  <si>
    <t>[垂直延長(L1)]</t>
    <rPh sb="1" eb="3">
      <t>スイチョク</t>
    </rPh>
    <rPh sb="3" eb="5">
      <t>エンチョウ</t>
    </rPh>
    <phoneticPr fontId="18"/>
  </si>
  <si>
    <t>[水平延長(L2)]</t>
    <rPh sb="1" eb="3">
      <t>スイヘイ</t>
    </rPh>
    <rPh sb="3" eb="5">
      <t>エンチョウ</t>
    </rPh>
    <phoneticPr fontId="18"/>
  </si>
  <si>
    <t>(制御盤下端)</t>
    <rPh sb="1" eb="4">
      <t>セイギョバン</t>
    </rPh>
    <rPh sb="4" eb="6">
      <t>シタバ</t>
    </rPh>
    <phoneticPr fontId="18"/>
  </si>
  <si>
    <t>（マンホール）</t>
    <phoneticPr fontId="3"/>
  </si>
  <si>
    <t xml:space="preserve">[負荷機器用] </t>
    <rPh sb="1" eb="3">
      <t>フカ</t>
    </rPh>
    <rPh sb="3" eb="5">
      <t>キキ</t>
    </rPh>
    <rPh sb="5" eb="6">
      <t>ヨウ</t>
    </rPh>
    <phoneticPr fontId="3"/>
  </si>
  <si>
    <t xml:space="preserve">接地棒 </t>
    <rPh sb="0" eb="2">
      <t>セッチ</t>
    </rPh>
    <rPh sb="2" eb="3">
      <t>ボウ</t>
    </rPh>
    <phoneticPr fontId="18"/>
  </si>
  <si>
    <t xml:space="preserve">(D種接地) </t>
    <rPh sb="2" eb="3">
      <t>シュ</t>
    </rPh>
    <rPh sb="3" eb="5">
      <t>セッチ</t>
    </rPh>
    <phoneticPr fontId="3"/>
  </si>
  <si>
    <t>費目</t>
    <rPh sb="0" eb="2">
      <t>ヒモク</t>
    </rPh>
    <phoneticPr fontId="3"/>
  </si>
  <si>
    <t>金　　　　額</t>
    <rPh sb="0" eb="1">
      <t>キン</t>
    </rPh>
    <rPh sb="5" eb="6">
      <t>ガク</t>
    </rPh>
    <phoneticPr fontId="3"/>
  </si>
  <si>
    <t>備　　考</t>
    <rPh sb="0" eb="1">
      <t>ビ</t>
    </rPh>
    <rPh sb="3" eb="4">
      <t>コウ</t>
    </rPh>
    <phoneticPr fontId="3"/>
  </si>
  <si>
    <t>工事価格計</t>
    <rPh sb="0" eb="2">
      <t>コウジ</t>
    </rPh>
    <rPh sb="2" eb="4">
      <t>カカク</t>
    </rPh>
    <rPh sb="4" eb="5">
      <t>ケイ</t>
    </rPh>
    <phoneticPr fontId="3"/>
  </si>
  <si>
    <t>消費税相当額</t>
    <rPh sb="0" eb="3">
      <t>ショウヒゼイ</t>
    </rPh>
    <rPh sb="3" eb="5">
      <t>ソウトウ</t>
    </rPh>
    <rPh sb="5" eb="6">
      <t>ガク</t>
    </rPh>
    <phoneticPr fontId="3"/>
  </si>
  <si>
    <t>本工事費</t>
    <rPh sb="0" eb="1">
      <t>ホン</t>
    </rPh>
    <rPh sb="1" eb="4">
      <t>コウジヒ</t>
    </rPh>
    <phoneticPr fontId="3"/>
  </si>
  <si>
    <t>請負工事価格</t>
    <rPh sb="0" eb="2">
      <t>ウケオイ</t>
    </rPh>
    <rPh sb="2" eb="4">
      <t>コウジ</t>
    </rPh>
    <rPh sb="4" eb="6">
      <t>カカク</t>
    </rPh>
    <phoneticPr fontId="3"/>
  </si>
  <si>
    <t>請負工事費</t>
    <rPh sb="0" eb="2">
      <t>ウケオイ</t>
    </rPh>
    <rPh sb="2" eb="5">
      <t>コウジヒ</t>
    </rPh>
    <phoneticPr fontId="3"/>
  </si>
  <si>
    <t>設　計　概　要</t>
    <rPh sb="0" eb="1">
      <t>セツ</t>
    </rPh>
    <rPh sb="2" eb="3">
      <t>ケイ</t>
    </rPh>
    <rPh sb="4" eb="5">
      <t>ガイ</t>
    </rPh>
    <rPh sb="6" eb="7">
      <t>ヨウ</t>
    </rPh>
    <phoneticPr fontId="3"/>
  </si>
  <si>
    <t>変　更　概　要</t>
    <rPh sb="0" eb="1">
      <t>ヘン</t>
    </rPh>
    <rPh sb="2" eb="3">
      <t>サラ</t>
    </rPh>
    <rPh sb="4" eb="5">
      <t>ガイ</t>
    </rPh>
    <rPh sb="6" eb="7">
      <t>ヨウ</t>
    </rPh>
    <phoneticPr fontId="3"/>
  </si>
  <si>
    <t>　</t>
    <phoneticPr fontId="3"/>
  </si>
  <si>
    <t>・ 機械設備工</t>
    <rPh sb="2" eb="4">
      <t>キカイ</t>
    </rPh>
    <rPh sb="4" eb="6">
      <t>セツビ</t>
    </rPh>
    <rPh sb="6" eb="7">
      <t>コウ</t>
    </rPh>
    <phoneticPr fontId="3"/>
  </si>
  <si>
    <t>　　水中汚水ポンプ</t>
    <rPh sb="2" eb="4">
      <t>スイチュウ</t>
    </rPh>
    <rPh sb="4" eb="6">
      <t>オスイ</t>
    </rPh>
    <phoneticPr fontId="3"/>
  </si>
  <si>
    <t>・ 電気設備工</t>
    <rPh sb="2" eb="4">
      <t>デンキ</t>
    </rPh>
    <rPh sb="4" eb="6">
      <t>セツビ</t>
    </rPh>
    <rPh sb="6" eb="7">
      <t>コウ</t>
    </rPh>
    <phoneticPr fontId="3"/>
  </si>
  <si>
    <t>N=1面</t>
    <rPh sb="3" eb="4">
      <t>メン</t>
    </rPh>
    <phoneticPr fontId="3"/>
  </si>
  <si>
    <t>羽根式ボルテックス型ベルマウス付</t>
    <rPh sb="0" eb="2">
      <t>ハネ</t>
    </rPh>
    <rPh sb="2" eb="3">
      <t>シキ</t>
    </rPh>
    <rPh sb="9" eb="10">
      <t>ガタ</t>
    </rPh>
    <rPh sb="15" eb="16">
      <t>ツ</t>
    </rPh>
    <phoneticPr fontId="3"/>
  </si>
  <si>
    <t>N=1台</t>
    <rPh sb="3" eb="4">
      <t>ダイ</t>
    </rPh>
    <phoneticPr fontId="3"/>
  </si>
  <si>
    <t>容積式グラインダー型</t>
    <rPh sb="0" eb="2">
      <t>ヨウセキ</t>
    </rPh>
    <rPh sb="2" eb="3">
      <t>シキ</t>
    </rPh>
    <rPh sb="9" eb="10">
      <t>ガタ</t>
    </rPh>
    <phoneticPr fontId="3"/>
  </si>
  <si>
    <t>参考寸法 W700×D250×H1,250</t>
    <rPh sb="0" eb="2">
      <t>サンコウ</t>
    </rPh>
    <rPh sb="2" eb="4">
      <t>スンポウ</t>
    </rPh>
    <phoneticPr fontId="3"/>
  </si>
  <si>
    <t>【羽黒西部第２宅内ポンプ場（羽黒町松ヶ岡 地内】</t>
    <rPh sb="1" eb="3">
      <t>ハグロ</t>
    </rPh>
    <rPh sb="3" eb="5">
      <t>セイブ</t>
    </rPh>
    <rPh sb="5" eb="6">
      <t>ダイ</t>
    </rPh>
    <rPh sb="7" eb="8">
      <t>タク</t>
    </rPh>
    <rPh sb="8" eb="9">
      <t>ナイ</t>
    </rPh>
    <rPh sb="12" eb="13">
      <t>バ</t>
    </rPh>
    <rPh sb="14" eb="17">
      <t>ハグロマチ</t>
    </rPh>
    <rPh sb="17" eb="20">
      <t>マツガオカ</t>
    </rPh>
    <rPh sb="21" eb="23">
      <t>チナイ</t>
    </rPh>
    <phoneticPr fontId="3"/>
  </si>
  <si>
    <t>口径32㎜、吐出量0.034m3/min、全揚程6.8m、出力0.75kw、200V</t>
    <rPh sb="0" eb="2">
      <t>コウケイ</t>
    </rPh>
    <rPh sb="6" eb="8">
      <t>トシュツ</t>
    </rPh>
    <rPh sb="8" eb="9">
      <t>リョウ</t>
    </rPh>
    <rPh sb="21" eb="24">
      <t>ゼンヨウテイ</t>
    </rPh>
    <rPh sb="29" eb="31">
      <t>シュツリョク</t>
    </rPh>
    <phoneticPr fontId="3"/>
  </si>
  <si>
    <t>【羽黒西部第３宅内ポンプ場（羽黒町松ヶ岡 地内）】</t>
    <rPh sb="1" eb="3">
      <t>ハグロ</t>
    </rPh>
    <rPh sb="3" eb="5">
      <t>セイブ</t>
    </rPh>
    <rPh sb="5" eb="6">
      <t>ダイ</t>
    </rPh>
    <rPh sb="7" eb="8">
      <t>タク</t>
    </rPh>
    <rPh sb="8" eb="9">
      <t>ナイ</t>
    </rPh>
    <rPh sb="12" eb="13">
      <t>バ</t>
    </rPh>
    <rPh sb="14" eb="17">
      <t>ハグロマチ</t>
    </rPh>
    <rPh sb="17" eb="20">
      <t>マツガオカ</t>
    </rPh>
    <rPh sb="21" eb="23">
      <t>チナイ</t>
    </rPh>
    <phoneticPr fontId="3"/>
  </si>
  <si>
    <t>口径32㎜、吐出量0.034m3/min、全揚程3.3m、出力0.75kw、200V</t>
    <rPh sb="0" eb="2">
      <t>コウケイ</t>
    </rPh>
    <rPh sb="6" eb="8">
      <t>トシュツ</t>
    </rPh>
    <rPh sb="8" eb="9">
      <t>リョウ</t>
    </rPh>
    <rPh sb="21" eb="24">
      <t>ゼンヨウテイ</t>
    </rPh>
    <rPh sb="29" eb="31">
      <t>シュツリョク</t>
    </rPh>
    <phoneticPr fontId="3"/>
  </si>
  <si>
    <t>【黒瀬第１宅内ポンプ場（羽黒町黒瀬 地内）】</t>
    <rPh sb="1" eb="3">
      <t>クロセ</t>
    </rPh>
    <rPh sb="3" eb="4">
      <t>ダイ</t>
    </rPh>
    <rPh sb="5" eb="6">
      <t>タク</t>
    </rPh>
    <rPh sb="6" eb="7">
      <t>ナイ</t>
    </rPh>
    <rPh sb="10" eb="11">
      <t>バ</t>
    </rPh>
    <rPh sb="12" eb="15">
      <t>ハグロマチ</t>
    </rPh>
    <rPh sb="15" eb="17">
      <t>クロセ</t>
    </rPh>
    <rPh sb="18" eb="20">
      <t>チナイ</t>
    </rPh>
    <phoneticPr fontId="3"/>
  </si>
  <si>
    <t>口径50A、吐出量0.080m3/min、全揚程2.3m、出力0.40kw、200V</t>
    <rPh sb="0" eb="2">
      <t>コウケイ</t>
    </rPh>
    <rPh sb="6" eb="8">
      <t>トシュツ</t>
    </rPh>
    <rPh sb="8" eb="9">
      <t>リョウ</t>
    </rPh>
    <rPh sb="21" eb="24">
      <t>ゼンヨウテイ</t>
    </rPh>
    <rPh sb="29" eb="31">
      <t>シュツリョク</t>
    </rPh>
    <phoneticPr fontId="3"/>
  </si>
  <si>
    <t>参考寸法 W700×D350×H1,200</t>
    <rPh sb="0" eb="2">
      <t>サンコウ</t>
    </rPh>
    <rPh sb="2" eb="4">
      <t>スンポウ</t>
    </rPh>
    <phoneticPr fontId="3"/>
  </si>
  <si>
    <t>事業名</t>
    <rPh sb="0" eb="2">
      <t>ジギョウ</t>
    </rPh>
    <rPh sb="2" eb="3">
      <t>メイ</t>
    </rPh>
    <phoneticPr fontId="3"/>
  </si>
  <si>
    <t>工事名</t>
    <rPh sb="0" eb="2">
      <t>コウジ</t>
    </rPh>
    <rPh sb="2" eb="3">
      <t>メイ</t>
    </rPh>
    <phoneticPr fontId="3"/>
  </si>
  <si>
    <t>工事箇所</t>
    <rPh sb="0" eb="2">
      <t>コウジ</t>
    </rPh>
    <rPh sb="2" eb="4">
      <t>カショ</t>
    </rPh>
    <phoneticPr fontId="3"/>
  </si>
  <si>
    <t>施行年度</t>
    <rPh sb="0" eb="2">
      <t>セコウ</t>
    </rPh>
    <rPh sb="2" eb="4">
      <t>ネンド</t>
    </rPh>
    <phoneticPr fontId="3"/>
  </si>
  <si>
    <t>機械設備</t>
    <rPh sb="0" eb="2">
      <t>キカイ</t>
    </rPh>
    <rPh sb="2" eb="4">
      <t>セツビ</t>
    </rPh>
    <phoneticPr fontId="3"/>
  </si>
  <si>
    <t>表紙</t>
    <rPh sb="0" eb="2">
      <t>ヒョウシ</t>
    </rPh>
    <phoneticPr fontId="3"/>
  </si>
  <si>
    <t>内訳</t>
    <rPh sb="0" eb="2">
      <t>ウチワケ</t>
    </rPh>
    <phoneticPr fontId="3"/>
  </si>
  <si>
    <t>明細</t>
    <rPh sb="0" eb="2">
      <t>メイサイ</t>
    </rPh>
    <phoneticPr fontId="3"/>
  </si>
  <si>
    <t>集計</t>
    <rPh sb="0" eb="2">
      <t>シュウケイ</t>
    </rPh>
    <phoneticPr fontId="3"/>
  </si>
  <si>
    <t>電気設備</t>
    <rPh sb="0" eb="2">
      <t>デンキ</t>
    </rPh>
    <rPh sb="2" eb="4">
      <t>セツビ</t>
    </rPh>
    <phoneticPr fontId="3"/>
  </si>
  <si>
    <t>数量(1)</t>
    <rPh sb="0" eb="2">
      <t>スウリョウ</t>
    </rPh>
    <phoneticPr fontId="3"/>
  </si>
  <si>
    <t>数量(2-1)</t>
    <rPh sb="0" eb="2">
      <t>スウリョウ</t>
    </rPh>
    <phoneticPr fontId="3"/>
  </si>
  <si>
    <t>数量(2-2)</t>
    <rPh sb="0" eb="2">
      <t>スウリョウ</t>
    </rPh>
    <phoneticPr fontId="3"/>
  </si>
  <si>
    <t>設計概要</t>
    <rPh sb="0" eb="2">
      <t>セッケイ</t>
    </rPh>
    <rPh sb="2" eb="4">
      <t>ガイヨウ</t>
    </rPh>
    <phoneticPr fontId="3"/>
  </si>
  <si>
    <t>概要</t>
    <rPh sb="0" eb="2">
      <t>ガイヨウ</t>
    </rPh>
    <phoneticPr fontId="3"/>
  </si>
  <si>
    <t>menu</t>
    <phoneticPr fontId="3"/>
  </si>
  <si>
    <t>menu</t>
    <phoneticPr fontId="3"/>
  </si>
  <si>
    <t>施行経費内訳</t>
    <rPh sb="0" eb="2">
      <t>セコウ</t>
    </rPh>
    <rPh sb="2" eb="4">
      <t>ケイヒ</t>
    </rPh>
    <rPh sb="4" eb="6">
      <t>ウチワケ</t>
    </rPh>
    <phoneticPr fontId="3"/>
  </si>
  <si>
    <t>[装柱型制御盤]</t>
    <rPh sb="1" eb="3">
      <t>ソウチュウ</t>
    </rPh>
    <rPh sb="3" eb="4">
      <t>ガタ</t>
    </rPh>
    <rPh sb="4" eb="7">
      <t>セイギョバン</t>
    </rPh>
    <phoneticPr fontId="3"/>
  </si>
  <si>
    <t>[自立型制御盤]</t>
    <rPh sb="1" eb="3">
      <t>ジリツ</t>
    </rPh>
    <rPh sb="3" eb="4">
      <t>ガタ</t>
    </rPh>
    <rPh sb="4" eb="7">
      <t>セイギョバン</t>
    </rPh>
    <phoneticPr fontId="3"/>
  </si>
  <si>
    <t>[機械・電気合算用]</t>
    <rPh sb="1" eb="3">
      <t>キカイ</t>
    </rPh>
    <rPh sb="4" eb="6">
      <t>デンキ</t>
    </rPh>
    <rPh sb="6" eb="8">
      <t>ガッサン</t>
    </rPh>
    <rPh sb="8" eb="9">
      <t>ヨウ</t>
    </rPh>
    <phoneticPr fontId="3"/>
  </si>
  <si>
    <t>資材単価</t>
    <rPh sb="0" eb="2">
      <t>シザイ</t>
    </rPh>
    <rPh sb="2" eb="4">
      <t>タンカ</t>
    </rPh>
    <phoneticPr fontId="3"/>
  </si>
  <si>
    <t>単価</t>
    <rPh sb="0" eb="2">
      <t>タンカ</t>
    </rPh>
    <phoneticPr fontId="3"/>
  </si>
  <si>
    <t>下水道用マンホールポンプ資材単価</t>
    <rPh sb="0" eb="3">
      <t>ゲスイドウ</t>
    </rPh>
    <rPh sb="3" eb="4">
      <t>ヨウ</t>
    </rPh>
    <rPh sb="12" eb="14">
      <t>シザイ</t>
    </rPh>
    <rPh sb="14" eb="16">
      <t>タンカ</t>
    </rPh>
    <phoneticPr fontId="3"/>
  </si>
  <si>
    <t>規格・形状寸法</t>
    <rPh sb="0" eb="2">
      <t>キカク</t>
    </rPh>
    <rPh sb="3" eb="5">
      <t>ケイジョウ</t>
    </rPh>
    <rPh sb="5" eb="7">
      <t>スンポウ</t>
    </rPh>
    <phoneticPr fontId="3"/>
  </si>
  <si>
    <t>見積価格</t>
    <rPh sb="0" eb="2">
      <t>ミツモリ</t>
    </rPh>
    <rPh sb="2" eb="4">
      <t>カカク</t>
    </rPh>
    <phoneticPr fontId="3"/>
  </si>
  <si>
    <t>(詳細別紙参照)</t>
    <rPh sb="1" eb="3">
      <t>ショウサイ</t>
    </rPh>
    <rPh sb="3" eb="5">
      <t>ベッシ</t>
    </rPh>
    <rPh sb="5" eb="7">
      <t>サンショウ</t>
    </rPh>
    <phoneticPr fontId="3"/>
  </si>
  <si>
    <t>資料価格</t>
    <rPh sb="0" eb="2">
      <t>シリョウ</t>
    </rPh>
    <rPh sb="2" eb="4">
      <t>カカク</t>
    </rPh>
    <phoneticPr fontId="3"/>
  </si>
  <si>
    <t>建設物価</t>
    <rPh sb="0" eb="2">
      <t>ケンセツ</t>
    </rPh>
    <rPh sb="2" eb="4">
      <t>ブッカ</t>
    </rPh>
    <phoneticPr fontId="3"/>
  </si>
  <si>
    <t>積算資料</t>
    <rPh sb="0" eb="2">
      <t>セキサン</t>
    </rPh>
    <rPh sb="2" eb="4">
      <t>シリョウ</t>
    </rPh>
    <phoneticPr fontId="3"/>
  </si>
  <si>
    <t>平均価格</t>
    <rPh sb="0" eb="2">
      <t>ヘイキン</t>
    </rPh>
    <rPh sb="2" eb="4">
      <t>カカク</t>
    </rPh>
    <phoneticPr fontId="3"/>
  </si>
  <si>
    <t>採用価格</t>
    <rPh sb="0" eb="2">
      <t>サイヨウ</t>
    </rPh>
    <rPh sb="2" eb="4">
      <t>カカク</t>
    </rPh>
    <phoneticPr fontId="3"/>
  </si>
  <si>
    <t>摘　要</t>
    <rPh sb="0" eb="1">
      <t>テキ</t>
    </rPh>
    <rPh sb="2" eb="3">
      <t>ヨウ</t>
    </rPh>
    <phoneticPr fontId="3"/>
  </si>
  <si>
    <t>名　称</t>
    <rPh sb="0" eb="1">
      <t>ナ</t>
    </rPh>
    <rPh sb="2" eb="3">
      <t>ショウ</t>
    </rPh>
    <phoneticPr fontId="3"/>
  </si>
  <si>
    <t>土木工事</t>
    <rPh sb="0" eb="2">
      <t>ドボク</t>
    </rPh>
    <rPh sb="2" eb="4">
      <t>コウジ</t>
    </rPh>
    <phoneticPr fontId="3"/>
  </si>
  <si>
    <t>表紙</t>
    <rPh sb="0" eb="2">
      <t>ヒョウシ</t>
    </rPh>
    <phoneticPr fontId="3"/>
  </si>
  <si>
    <t>数量</t>
    <rPh sb="0" eb="2">
      <t>スウリョウ</t>
    </rPh>
    <phoneticPr fontId="3"/>
  </si>
  <si>
    <t>数量集計表（土木工事）</t>
    <rPh sb="0" eb="2">
      <t>スウリョウ</t>
    </rPh>
    <rPh sb="2" eb="5">
      <t>シュウケイヒョウ</t>
    </rPh>
    <rPh sb="6" eb="8">
      <t>ドボク</t>
    </rPh>
    <rPh sb="8" eb="10">
      <t>コウジ</t>
    </rPh>
    <phoneticPr fontId="3"/>
  </si>
  <si>
    <t>ｍ</t>
    <phoneticPr fontId="3"/>
  </si>
  <si>
    <t>m2</t>
    <phoneticPr fontId="3"/>
  </si>
  <si>
    <t>m3</t>
    <phoneticPr fontId="3"/>
  </si>
  <si>
    <t>m2</t>
    <phoneticPr fontId="3"/>
  </si>
  <si>
    <t>(1.30+0.81)×2=4.22</t>
    <phoneticPr fontId="3"/>
  </si>
  <si>
    <t>仮設時</t>
    <rPh sb="0" eb="2">
      <t>カセツ</t>
    </rPh>
    <rPh sb="2" eb="3">
      <t>ジ</t>
    </rPh>
    <phoneticPr fontId="3"/>
  </si>
  <si>
    <t>(1.30×0.81)×2=2.11</t>
    <phoneticPr fontId="3"/>
  </si>
  <si>
    <t>仮設時+復旧時</t>
    <rPh sb="0" eb="2">
      <t>カセツ</t>
    </rPh>
    <rPh sb="2" eb="3">
      <t>ジ</t>
    </rPh>
    <rPh sb="4" eb="6">
      <t>フッキュウ</t>
    </rPh>
    <rPh sb="6" eb="7">
      <t>ジ</t>
    </rPh>
    <phoneticPr fontId="3"/>
  </si>
  <si>
    <t>As殻　L=4.7km
処分先：鶴岡建設㈱</t>
    <rPh sb="2" eb="3">
      <t>ガラ</t>
    </rPh>
    <rPh sb="12" eb="14">
      <t>ショブン</t>
    </rPh>
    <rPh sb="14" eb="15">
      <t>サキ</t>
    </rPh>
    <rPh sb="16" eb="18">
      <t>ツルオカ</t>
    </rPh>
    <rPh sb="18" eb="20">
      <t>ケンセツ</t>
    </rPh>
    <phoneticPr fontId="3"/>
  </si>
  <si>
    <t>((0.81+0.55)/2×(1.29-0.04)×1.30)×2=2.21</t>
    <phoneticPr fontId="3"/>
  </si>
  <si>
    <t>((0.74+0.55)/2×0.95×1.30)×2=1.29</t>
    <phoneticPr fontId="3"/>
  </si>
  <si>
    <t>2.21-1.29=0.92</t>
    <phoneticPr fontId="3"/>
  </si>
  <si>
    <t>(1.30×0.80)×2=2.08</t>
    <phoneticPr fontId="3"/>
  </si>
  <si>
    <t>(1.30×0.77)×2=2.00</t>
    <phoneticPr fontId="3"/>
  </si>
  <si>
    <t>ポンプ設置・撤去</t>
    <rPh sb="3" eb="5">
      <t>セッチ</t>
    </rPh>
    <rPh sb="6" eb="8">
      <t>テッキョ</t>
    </rPh>
    <phoneticPr fontId="3"/>
  </si>
  <si>
    <t>0.75kw　65A
既設ポンプ利用</t>
    <rPh sb="11" eb="13">
      <t>キセツ</t>
    </rPh>
    <rPh sb="16" eb="18">
      <t>リヨウ</t>
    </rPh>
    <phoneticPr fontId="3"/>
  </si>
  <si>
    <t>台</t>
    <rPh sb="0" eb="1">
      <t>ダイ</t>
    </rPh>
    <phoneticPr fontId="3"/>
  </si>
  <si>
    <t>1.00</t>
    <phoneticPr fontId="3"/>
  </si>
  <si>
    <t>管撤去工</t>
    <rPh sb="0" eb="1">
      <t>カン</t>
    </rPh>
    <rPh sb="1" eb="3">
      <t>テッキョ</t>
    </rPh>
    <rPh sb="3" eb="4">
      <t>コウ</t>
    </rPh>
    <phoneticPr fontId="3"/>
  </si>
  <si>
    <t>VU75㎜</t>
    <phoneticPr fontId="3"/>
  </si>
  <si>
    <t>廃管運搬処分</t>
    <rPh sb="0" eb="1">
      <t>ハイ</t>
    </rPh>
    <rPh sb="1" eb="2">
      <t>カン</t>
    </rPh>
    <rPh sb="2" eb="4">
      <t>ウンパン</t>
    </rPh>
    <rPh sb="4" eb="6">
      <t>ショブン</t>
    </rPh>
    <phoneticPr fontId="3"/>
  </si>
  <si>
    <t>1.30</t>
    <phoneticPr fontId="3"/>
  </si>
  <si>
    <t>kg</t>
    <phoneticPr fontId="3"/>
  </si>
  <si>
    <t>塩ビ管</t>
    <rPh sb="0" eb="1">
      <t>エン</t>
    </rPh>
    <rPh sb="2" eb="3">
      <t>カン</t>
    </rPh>
    <phoneticPr fontId="3"/>
  </si>
  <si>
    <t>m3</t>
    <phoneticPr fontId="3"/>
  </si>
  <si>
    <t>(3.14*0.09^2)/4×1.30=0.01</t>
    <phoneticPr fontId="3"/>
  </si>
  <si>
    <t>管布設工</t>
    <rPh sb="0" eb="1">
      <t>カン</t>
    </rPh>
    <rPh sb="1" eb="3">
      <t>フセツ</t>
    </rPh>
    <rPh sb="3" eb="4">
      <t>コウ</t>
    </rPh>
    <phoneticPr fontId="3"/>
  </si>
  <si>
    <t>VP75㎜</t>
    <phoneticPr fontId="3"/>
  </si>
  <si>
    <t>（材料費）</t>
    <rPh sb="1" eb="4">
      <t>ザイリョウヒ</t>
    </rPh>
    <phoneticPr fontId="3"/>
  </si>
  <si>
    <t>VP65㎜
プレーンエンド管</t>
    <rPh sb="13" eb="14">
      <t>カン</t>
    </rPh>
    <phoneticPr fontId="3"/>
  </si>
  <si>
    <t>本</t>
    <rPh sb="0" eb="1">
      <t>ホン</t>
    </rPh>
    <phoneticPr fontId="3"/>
  </si>
  <si>
    <t>1.74/4.0=0.44</t>
    <phoneticPr fontId="3"/>
  </si>
  <si>
    <t>VP75㎜
プレーンエンド管</t>
    <rPh sb="13" eb="14">
      <t>カン</t>
    </rPh>
    <phoneticPr fontId="3"/>
  </si>
  <si>
    <t>0.70/4.0=0.18</t>
    <phoneticPr fontId="3"/>
  </si>
  <si>
    <t>TSフランジ</t>
    <phoneticPr fontId="3"/>
  </si>
  <si>
    <t>Φ65㎜</t>
    <phoneticPr fontId="3"/>
  </si>
  <si>
    <t>個</t>
    <rPh sb="0" eb="1">
      <t>コ</t>
    </rPh>
    <phoneticPr fontId="3"/>
  </si>
  <si>
    <t>1.00</t>
    <phoneticPr fontId="3"/>
  </si>
  <si>
    <t>曲管</t>
    <rPh sb="0" eb="2">
      <t>キョッカン</t>
    </rPh>
    <phoneticPr fontId="3"/>
  </si>
  <si>
    <t>90度
Φ65㎜</t>
    <rPh sb="2" eb="3">
      <t>ド</t>
    </rPh>
    <phoneticPr fontId="3"/>
  </si>
  <si>
    <t>径違いソケット</t>
    <rPh sb="0" eb="1">
      <t>ケイ</t>
    </rPh>
    <rPh sb="1" eb="2">
      <t>チガ</t>
    </rPh>
    <phoneticPr fontId="3"/>
  </si>
  <si>
    <t>Φ75㎜×65㎜</t>
    <phoneticPr fontId="3"/>
  </si>
  <si>
    <t>ソケット</t>
    <phoneticPr fontId="3"/>
  </si>
  <si>
    <t>Φ75㎜</t>
    <phoneticPr fontId="3"/>
  </si>
  <si>
    <t>発生品運搬</t>
    <rPh sb="0" eb="2">
      <t>ハッセイ</t>
    </rPh>
    <rPh sb="2" eb="3">
      <t>ヒン</t>
    </rPh>
    <rPh sb="3" eb="5">
      <t>ウンパン</t>
    </rPh>
    <phoneticPr fontId="3"/>
  </si>
  <si>
    <t>既設ポンプ　0.75kw×1台
L=9.6km
運搬先：鶴岡市浄化センター</t>
    <rPh sb="0" eb="2">
      <t>キセツ</t>
    </rPh>
    <rPh sb="14" eb="15">
      <t>ダイ</t>
    </rPh>
    <rPh sb="24" eb="26">
      <t>ウンパン</t>
    </rPh>
    <rPh sb="26" eb="27">
      <t>サキ</t>
    </rPh>
    <rPh sb="28" eb="31">
      <t>ツルオカシ</t>
    </rPh>
    <rPh sb="31" eb="33">
      <t>ジョウカ</t>
    </rPh>
    <phoneticPr fontId="3"/>
  </si>
  <si>
    <t>（配管工事費）</t>
    <rPh sb="1" eb="3">
      <t>ハイカン</t>
    </rPh>
    <rPh sb="3" eb="5">
      <t>コウジ</t>
    </rPh>
    <rPh sb="5" eb="6">
      <t>ヒ</t>
    </rPh>
    <phoneticPr fontId="3"/>
  </si>
  <si>
    <t>削孔工</t>
    <rPh sb="0" eb="2">
      <t>サッコウ</t>
    </rPh>
    <rPh sb="2" eb="3">
      <t>コウ</t>
    </rPh>
    <phoneticPr fontId="3"/>
  </si>
  <si>
    <t>既設1号MH
塩ビ管用　100㎜</t>
    <rPh sb="0" eb="2">
      <t>キセツ</t>
    </rPh>
    <rPh sb="3" eb="4">
      <t>ゴウ</t>
    </rPh>
    <rPh sb="7" eb="8">
      <t>エン</t>
    </rPh>
    <rPh sb="9" eb="10">
      <t>カン</t>
    </rPh>
    <rPh sb="10" eb="11">
      <t>ヨウ</t>
    </rPh>
    <phoneticPr fontId="3"/>
  </si>
  <si>
    <t>箇所</t>
    <rPh sb="0" eb="2">
      <t>カショ</t>
    </rPh>
    <phoneticPr fontId="3"/>
  </si>
  <si>
    <t>再生合材(無規格)
t=4㎝</t>
    <rPh sb="0" eb="2">
      <t>サイセイ</t>
    </rPh>
    <rPh sb="2" eb="4">
      <t>ゴウザイ</t>
    </rPh>
    <rPh sb="5" eb="6">
      <t>ム</t>
    </rPh>
    <rPh sb="6" eb="8">
      <t>キカク</t>
    </rPh>
    <phoneticPr fontId="3"/>
  </si>
  <si>
    <t>RC-40
t=15㎝</t>
    <phoneticPr fontId="3"/>
  </si>
  <si>
    <t>M-40
t=15㎝</t>
    <phoneticPr fontId="3"/>
  </si>
  <si>
    <t>仮設用</t>
    <rPh sb="0" eb="2">
      <t>カセツ</t>
    </rPh>
    <rPh sb="2" eb="3">
      <t>ヨウ</t>
    </rPh>
    <phoneticPr fontId="3"/>
  </si>
  <si>
    <t>43.0</t>
    <phoneticPr fontId="3"/>
  </si>
  <si>
    <t>仮設配管工（３/３）</t>
    <rPh sb="0" eb="2">
      <t>カセツ</t>
    </rPh>
    <rPh sb="2" eb="5">
      <t>ハイカンコウ</t>
    </rPh>
    <phoneticPr fontId="3"/>
  </si>
  <si>
    <t>仮設配管工（１/３）</t>
    <rPh sb="0" eb="2">
      <t>カセツ</t>
    </rPh>
    <rPh sb="2" eb="4">
      <t>ハイカン</t>
    </rPh>
    <rPh sb="4" eb="5">
      <t>コウ</t>
    </rPh>
    <phoneticPr fontId="3"/>
  </si>
  <si>
    <t>仮設配管工（２/３）</t>
    <rPh sb="0" eb="2">
      <t>カセツ</t>
    </rPh>
    <rPh sb="2" eb="5">
      <t>ハイカンコウ</t>
    </rPh>
    <phoneticPr fontId="3"/>
  </si>
  <si>
    <t>（配線工事費）</t>
    <rPh sb="1" eb="3">
      <t>ハイセン</t>
    </rPh>
    <rPh sb="3" eb="5">
      <t>コウジ</t>
    </rPh>
    <rPh sb="5" eb="6">
      <t>ヒ</t>
    </rPh>
    <phoneticPr fontId="3"/>
  </si>
  <si>
    <t>ポンプケーブル</t>
    <phoneticPr fontId="3"/>
  </si>
  <si>
    <t>3PNCT2.0-3C</t>
    <phoneticPr fontId="3"/>
  </si>
  <si>
    <t>ポンプケーブル設置・撤去</t>
    <rPh sb="7" eb="9">
      <t>セッチ</t>
    </rPh>
    <rPh sb="10" eb="12">
      <t>テッキョ</t>
    </rPh>
    <phoneticPr fontId="3"/>
  </si>
  <si>
    <t>水位計設置・撤去</t>
    <rPh sb="0" eb="2">
      <t>スイイ</t>
    </rPh>
    <rPh sb="2" eb="3">
      <t>ケイ</t>
    </rPh>
    <rPh sb="3" eb="5">
      <t>セッチ</t>
    </rPh>
    <rPh sb="6" eb="8">
      <t>テッキョ</t>
    </rPh>
    <phoneticPr fontId="3"/>
  </si>
  <si>
    <t>フロート式　レベルスイッチ</t>
    <rPh sb="4" eb="5">
      <t>シキ</t>
    </rPh>
    <phoneticPr fontId="3"/>
  </si>
  <si>
    <t>VCT0.75-3C</t>
    <phoneticPr fontId="3"/>
  </si>
  <si>
    <t>電線管設置・撤去</t>
    <rPh sb="0" eb="3">
      <t>デンセンカン</t>
    </rPh>
    <rPh sb="3" eb="5">
      <t>セッチ</t>
    </rPh>
    <rPh sb="6" eb="8">
      <t>テッキョ</t>
    </rPh>
    <phoneticPr fontId="3"/>
  </si>
  <si>
    <t>FEP</t>
    <phoneticPr fontId="3"/>
  </si>
  <si>
    <t>水位計ケーブル</t>
    <rPh sb="0" eb="3">
      <t>スイイケイ</t>
    </rPh>
    <phoneticPr fontId="3"/>
  </si>
  <si>
    <t>水位計ケーブル設置・撤去</t>
    <rPh sb="0" eb="2">
      <t>スイイ</t>
    </rPh>
    <rPh sb="2" eb="3">
      <t>ケイ</t>
    </rPh>
    <rPh sb="7" eb="9">
      <t>セッチ</t>
    </rPh>
    <rPh sb="10" eb="12">
      <t>テッキョ</t>
    </rPh>
    <phoneticPr fontId="3"/>
  </si>
  <si>
    <t>電線管</t>
    <rPh sb="0" eb="3">
      <t>デンセンカン</t>
    </rPh>
    <phoneticPr fontId="3"/>
  </si>
  <si>
    <t>ｍ</t>
    <phoneticPr fontId="3"/>
  </si>
  <si>
    <t>ポンプ付属にて計上なし</t>
    <rPh sb="3" eb="5">
      <t>フゾク</t>
    </rPh>
    <rPh sb="7" eb="9">
      <t>ケイジョウ</t>
    </rPh>
    <phoneticPr fontId="3"/>
  </si>
  <si>
    <t>補助対象 N=2台(1箇所)</t>
    <rPh sb="0" eb="2">
      <t>ホジョ</t>
    </rPh>
    <rPh sb="2" eb="4">
      <t>タイショウ</t>
    </rPh>
    <rPh sb="8" eb="9">
      <t>ダイ</t>
    </rPh>
    <rPh sb="11" eb="13">
      <t>カショ</t>
    </rPh>
    <phoneticPr fontId="3"/>
  </si>
  <si>
    <t>N=2台(1箇所)</t>
    <rPh sb="3" eb="4">
      <t>ダイ</t>
    </rPh>
    <rPh sb="6" eb="8">
      <t>カショ</t>
    </rPh>
    <phoneticPr fontId="3"/>
  </si>
  <si>
    <t>N=1面(1箇所)</t>
    <rPh sb="3" eb="4">
      <t>メン</t>
    </rPh>
    <rPh sb="6" eb="8">
      <t>カショ</t>
    </rPh>
    <phoneticPr fontId="3"/>
  </si>
  <si>
    <t>補助対象 N=1台(1箇所)</t>
    <rPh sb="0" eb="2">
      <t>ホジョ</t>
    </rPh>
    <rPh sb="2" eb="4">
      <t>タイショウ</t>
    </rPh>
    <rPh sb="8" eb="9">
      <t>ダイ</t>
    </rPh>
    <rPh sb="11" eb="13">
      <t>カショ</t>
    </rPh>
    <phoneticPr fontId="3"/>
  </si>
  <si>
    <t>東北</t>
    <rPh sb="0" eb="2">
      <t>トウホク</t>
    </rPh>
    <phoneticPr fontId="3"/>
  </si>
  <si>
    <t>配管用ｽﾃﾝﾚｽ鋼鋼管
20sch　32A
600円/kg×2.97kg/m
=　1,780円/m</t>
    <rPh sb="0" eb="3">
      <t>ハイカンヨウ</t>
    </rPh>
    <rPh sb="8" eb="9">
      <t>コウ</t>
    </rPh>
    <rPh sb="9" eb="11">
      <t>コウカン</t>
    </rPh>
    <rPh sb="25" eb="26">
      <t>エン</t>
    </rPh>
    <rPh sb="46" eb="47">
      <t>エン</t>
    </rPh>
    <phoneticPr fontId="3"/>
  </si>
  <si>
    <t>予旋回槽</t>
    <rPh sb="0" eb="1">
      <t>ヨ</t>
    </rPh>
    <rPh sb="1" eb="3">
      <t>センカイ</t>
    </rPh>
    <rPh sb="3" eb="4">
      <t>ソウ</t>
    </rPh>
    <phoneticPr fontId="3"/>
  </si>
  <si>
    <t>台</t>
    <rPh sb="0" eb="1">
      <t>ダイ</t>
    </rPh>
    <phoneticPr fontId="3"/>
  </si>
  <si>
    <t>65A×10K
SCS/NBR　ﾎﾞｰﾙ式　排気弁付</t>
    <rPh sb="20" eb="21">
      <t>シキ</t>
    </rPh>
    <rPh sb="22" eb="24">
      <t>ハイキ</t>
    </rPh>
    <rPh sb="24" eb="25">
      <t>ベン</t>
    </rPh>
    <rPh sb="25" eb="26">
      <t>ツ</t>
    </rPh>
    <phoneticPr fontId="3"/>
  </si>
  <si>
    <t>（物価・資料単価）</t>
    <rPh sb="1" eb="3">
      <t>ブッカ</t>
    </rPh>
    <rPh sb="4" eb="6">
      <t>シリョウ</t>
    </rPh>
    <rPh sb="6" eb="8">
      <t>タンカ</t>
    </rPh>
    <phoneticPr fontId="3"/>
  </si>
  <si>
    <t>ケーブル</t>
    <phoneticPr fontId="3"/>
  </si>
  <si>
    <t>ｍ</t>
    <phoneticPr fontId="3"/>
  </si>
  <si>
    <t>電線</t>
    <rPh sb="0" eb="2">
      <t>デンセン</t>
    </rPh>
    <phoneticPr fontId="3"/>
  </si>
  <si>
    <t>ケーブル</t>
    <phoneticPr fontId="3"/>
  </si>
  <si>
    <t>電線管</t>
    <rPh sb="0" eb="3">
      <t>デンセンカン</t>
    </rPh>
    <phoneticPr fontId="3"/>
  </si>
  <si>
    <t>ｍ</t>
    <phoneticPr fontId="3"/>
  </si>
  <si>
    <t>ベルマウス</t>
    <phoneticPr fontId="3"/>
  </si>
  <si>
    <t>個</t>
    <rPh sb="0" eb="1">
      <t>コ</t>
    </rPh>
    <phoneticPr fontId="3"/>
  </si>
  <si>
    <t>連結式接地棒</t>
    <rPh sb="0" eb="2">
      <t>レンケツ</t>
    </rPh>
    <rPh sb="2" eb="3">
      <t>シキ</t>
    </rPh>
    <rPh sb="3" eb="5">
      <t>セッチ</t>
    </rPh>
    <rPh sb="5" eb="6">
      <t>ボウ</t>
    </rPh>
    <phoneticPr fontId="3"/>
  </si>
  <si>
    <t>本</t>
    <rPh sb="0" eb="1">
      <t>ホン</t>
    </rPh>
    <phoneticPr fontId="3"/>
  </si>
  <si>
    <t>連結式接地棒用
リート端子</t>
    <rPh sb="0" eb="2">
      <t>レンケツ</t>
    </rPh>
    <rPh sb="2" eb="3">
      <t>シキ</t>
    </rPh>
    <rPh sb="3" eb="5">
      <t>セッチ</t>
    </rPh>
    <rPh sb="5" eb="6">
      <t>ボウ</t>
    </rPh>
    <rPh sb="6" eb="7">
      <t>ヨウ</t>
    </rPh>
    <rPh sb="11" eb="13">
      <t>タンシ</t>
    </rPh>
    <phoneticPr fontId="3"/>
  </si>
  <si>
    <t>引込開閉器盤</t>
    <rPh sb="0" eb="2">
      <t>ヒキコミ</t>
    </rPh>
    <rPh sb="2" eb="5">
      <t>カイヘイキ</t>
    </rPh>
    <rPh sb="5" eb="6">
      <t>バン</t>
    </rPh>
    <phoneticPr fontId="3"/>
  </si>
  <si>
    <r>
      <rPr>
        <sz val="6"/>
        <color theme="1"/>
        <rFont val="游ゴシック"/>
        <family val="3"/>
        <charset val="128"/>
        <scheme val="minor"/>
      </rPr>
      <t>600Vﾋﾞﾆﾙ絶縁電線(IV)　JIS-C-3307</t>
    </r>
    <r>
      <rPr>
        <sz val="8"/>
        <color theme="1"/>
        <rFont val="游ゴシック"/>
        <family val="2"/>
        <charset val="128"/>
        <scheme val="minor"/>
      </rPr>
      <t xml:space="preserve">
V22.0</t>
    </r>
    <rPh sb="8" eb="10">
      <t>ゼツエン</t>
    </rPh>
    <rPh sb="10" eb="12">
      <t>デンセン</t>
    </rPh>
    <phoneticPr fontId="3"/>
  </si>
  <si>
    <t>2020.10　p539</t>
    <phoneticPr fontId="3"/>
  </si>
  <si>
    <t>仙台</t>
    <rPh sb="0" eb="2">
      <t>センダイ</t>
    </rPh>
    <phoneticPr fontId="3"/>
  </si>
  <si>
    <r>
      <rPr>
        <sz val="6"/>
        <color theme="1"/>
        <rFont val="游ゴシック"/>
        <family val="3"/>
        <charset val="128"/>
        <scheme val="minor"/>
      </rPr>
      <t>合成樹脂製可とう電線管　JIS-C-8411</t>
    </r>
    <r>
      <rPr>
        <sz val="8"/>
        <color theme="1"/>
        <rFont val="游ゴシック"/>
        <family val="2"/>
        <charset val="128"/>
        <scheme val="minor"/>
      </rPr>
      <t xml:space="preserve">
PF22</t>
    </r>
    <rPh sb="0" eb="2">
      <t>ゴウセイ</t>
    </rPh>
    <rPh sb="2" eb="4">
      <t>ジュシ</t>
    </rPh>
    <rPh sb="4" eb="5">
      <t>セイ</t>
    </rPh>
    <rPh sb="5" eb="6">
      <t>カ</t>
    </rPh>
    <rPh sb="8" eb="11">
      <t>デンセンカン</t>
    </rPh>
    <phoneticPr fontId="3"/>
  </si>
  <si>
    <r>
      <rPr>
        <sz val="6"/>
        <color theme="1"/>
        <rFont val="游ゴシック"/>
        <family val="3"/>
        <charset val="128"/>
        <scheme val="minor"/>
      </rPr>
      <t>合成樹脂製可とう電線管(大口径)　JIS-C-8411</t>
    </r>
    <r>
      <rPr>
        <sz val="8"/>
        <color theme="1"/>
        <rFont val="游ゴシック"/>
        <family val="2"/>
        <charset val="128"/>
        <scheme val="minor"/>
      </rPr>
      <t xml:space="preserve">
PF36</t>
    </r>
    <rPh sb="0" eb="2">
      <t>ゴウセイ</t>
    </rPh>
    <rPh sb="2" eb="4">
      <t>ジュシ</t>
    </rPh>
    <rPh sb="4" eb="5">
      <t>セイ</t>
    </rPh>
    <rPh sb="5" eb="6">
      <t>カ</t>
    </rPh>
    <rPh sb="8" eb="11">
      <t>デンセンカン</t>
    </rPh>
    <rPh sb="12" eb="15">
      <t>ダイコウケイ</t>
    </rPh>
    <phoneticPr fontId="3"/>
  </si>
  <si>
    <t>全国</t>
    <rPh sb="0" eb="2">
      <t>ゼンコク</t>
    </rPh>
    <phoneticPr fontId="3"/>
  </si>
  <si>
    <t>掲載なし</t>
    <rPh sb="0" eb="2">
      <t>ケイサイ</t>
    </rPh>
    <phoneticPr fontId="3"/>
  </si>
  <si>
    <r>
      <rPr>
        <sz val="6"/>
        <color theme="1"/>
        <rFont val="游ゴシック"/>
        <family val="3"/>
        <charset val="128"/>
        <scheme val="minor"/>
      </rPr>
      <t>硬質ﾋﾞﾆﾙ電線管　JIS-C-8430</t>
    </r>
    <r>
      <rPr>
        <sz val="8"/>
        <color theme="1"/>
        <rFont val="游ゴシック"/>
        <family val="2"/>
        <charset val="128"/>
        <scheme val="minor"/>
      </rPr>
      <t xml:space="preserve">
VE16</t>
    </r>
    <rPh sb="0" eb="2">
      <t>コウシツ</t>
    </rPh>
    <rPh sb="6" eb="9">
      <t>デンセンカン</t>
    </rPh>
    <phoneticPr fontId="3"/>
  </si>
  <si>
    <r>
      <rPr>
        <sz val="6"/>
        <color theme="1"/>
        <rFont val="游ゴシック"/>
        <family val="3"/>
        <charset val="128"/>
        <scheme val="minor"/>
      </rPr>
      <t>硬質ﾋﾞﾆﾙ電線管　JIS-C-8430</t>
    </r>
    <r>
      <rPr>
        <sz val="8"/>
        <color theme="1"/>
        <rFont val="游ゴシック"/>
        <family val="2"/>
        <charset val="128"/>
        <scheme val="minor"/>
      </rPr>
      <t xml:space="preserve">
VE22</t>
    </r>
    <rPh sb="0" eb="2">
      <t>コウシツ</t>
    </rPh>
    <phoneticPr fontId="3"/>
  </si>
  <si>
    <r>
      <rPr>
        <sz val="6"/>
        <color theme="1"/>
        <rFont val="游ゴシック"/>
        <family val="3"/>
        <charset val="128"/>
        <scheme val="minor"/>
      </rPr>
      <t>硬質ﾋﾞﾆﾙ電線管　JIS-C-8430</t>
    </r>
    <r>
      <rPr>
        <sz val="8"/>
        <color theme="1"/>
        <rFont val="游ゴシック"/>
        <family val="2"/>
        <charset val="128"/>
        <scheme val="minor"/>
      </rPr>
      <t xml:space="preserve">
VE28</t>
    </r>
    <rPh sb="0" eb="2">
      <t>コウシツ</t>
    </rPh>
    <phoneticPr fontId="3"/>
  </si>
  <si>
    <r>
      <rPr>
        <sz val="6"/>
        <color theme="1"/>
        <rFont val="游ゴシック"/>
        <family val="3"/>
        <charset val="128"/>
        <scheme val="minor"/>
      </rPr>
      <t>硬質ﾋﾞﾆﾙ電線管　JIS-C-8430</t>
    </r>
    <r>
      <rPr>
        <sz val="8"/>
        <color theme="1"/>
        <rFont val="游ゴシック"/>
        <family val="2"/>
        <charset val="128"/>
        <scheme val="minor"/>
      </rPr>
      <t xml:space="preserve">
VE36</t>
    </r>
    <rPh sb="0" eb="2">
      <t>コウシツ</t>
    </rPh>
    <phoneticPr fontId="3"/>
  </si>
  <si>
    <r>
      <rPr>
        <sz val="6"/>
        <color theme="1"/>
        <rFont val="游ゴシック"/>
        <family val="3"/>
        <charset val="128"/>
        <scheme val="minor"/>
      </rPr>
      <t>硬質ﾋﾞﾆﾙ電線管　JIS-C-8430</t>
    </r>
    <r>
      <rPr>
        <sz val="8"/>
        <color theme="1"/>
        <rFont val="游ゴシック"/>
        <family val="2"/>
        <charset val="128"/>
        <scheme val="minor"/>
      </rPr>
      <t xml:space="preserve">
VE54</t>
    </r>
    <rPh sb="0" eb="2">
      <t>コウシツ</t>
    </rPh>
    <phoneticPr fontId="3"/>
  </si>
  <si>
    <r>
      <rPr>
        <sz val="6"/>
        <color theme="1"/>
        <rFont val="游ゴシック"/>
        <family val="3"/>
        <charset val="128"/>
        <scheme val="minor"/>
      </rPr>
      <t>波付硬質合成樹脂管用付属品</t>
    </r>
    <r>
      <rPr>
        <sz val="8"/>
        <color theme="1"/>
        <rFont val="游ゴシック"/>
        <family val="2"/>
        <charset val="128"/>
        <scheme val="minor"/>
      </rPr>
      <t xml:space="preserve">
FEP30用</t>
    </r>
    <rPh sb="0" eb="1">
      <t>ナミ</t>
    </rPh>
    <rPh sb="1" eb="2">
      <t>ヅケ</t>
    </rPh>
    <rPh sb="2" eb="4">
      <t>コウシツ</t>
    </rPh>
    <rPh sb="4" eb="6">
      <t>ゴウセイ</t>
    </rPh>
    <rPh sb="6" eb="8">
      <t>ジュシ</t>
    </rPh>
    <rPh sb="8" eb="9">
      <t>カン</t>
    </rPh>
    <rPh sb="9" eb="10">
      <t>ヨウ</t>
    </rPh>
    <rPh sb="10" eb="12">
      <t>フゾク</t>
    </rPh>
    <rPh sb="12" eb="13">
      <t>ヒン</t>
    </rPh>
    <rPh sb="19" eb="20">
      <t>ヨウ</t>
    </rPh>
    <phoneticPr fontId="3"/>
  </si>
  <si>
    <r>
      <rPr>
        <sz val="6"/>
        <color theme="1"/>
        <rFont val="游ゴシック"/>
        <family val="3"/>
        <charset val="128"/>
        <scheme val="minor"/>
      </rPr>
      <t>波付硬質合成樹脂管用付属品</t>
    </r>
    <r>
      <rPr>
        <sz val="8"/>
        <color theme="1"/>
        <rFont val="游ゴシック"/>
        <family val="2"/>
        <charset val="128"/>
        <scheme val="minor"/>
      </rPr>
      <t xml:space="preserve">
FEP40用</t>
    </r>
    <rPh sb="19" eb="20">
      <t>ヨウ</t>
    </rPh>
    <phoneticPr fontId="3"/>
  </si>
  <si>
    <r>
      <rPr>
        <sz val="6"/>
        <color theme="1"/>
        <rFont val="游ゴシック"/>
        <family val="3"/>
        <charset val="128"/>
        <scheme val="minor"/>
      </rPr>
      <t>波付硬質合成樹脂管用付属品</t>
    </r>
    <r>
      <rPr>
        <sz val="8"/>
        <color theme="1"/>
        <rFont val="游ゴシック"/>
        <family val="2"/>
        <charset val="128"/>
        <scheme val="minor"/>
      </rPr>
      <t xml:space="preserve">
FEP50用</t>
    </r>
    <rPh sb="19" eb="20">
      <t>ヨウ</t>
    </rPh>
    <phoneticPr fontId="3"/>
  </si>
  <si>
    <r>
      <rPr>
        <sz val="6"/>
        <color theme="1"/>
        <rFont val="游ゴシック"/>
        <family val="3"/>
        <charset val="128"/>
        <scheme val="minor"/>
      </rPr>
      <t>波付硬質合成樹脂管用付属品</t>
    </r>
    <r>
      <rPr>
        <sz val="8"/>
        <color theme="1"/>
        <rFont val="游ゴシック"/>
        <family val="2"/>
        <charset val="128"/>
        <scheme val="minor"/>
      </rPr>
      <t xml:space="preserve">
FEP65用</t>
    </r>
    <rPh sb="19" eb="20">
      <t>ヨウ</t>
    </rPh>
    <phoneticPr fontId="3"/>
  </si>
  <si>
    <t>コンクリートポール</t>
    <phoneticPr fontId="3"/>
  </si>
  <si>
    <t>東京</t>
    <rPh sb="0" eb="2">
      <t>トウキョウ</t>
    </rPh>
    <phoneticPr fontId="3"/>
  </si>
  <si>
    <t>Φ10用　22㎜2×500</t>
    <rPh sb="3" eb="4">
      <t>ヨウ</t>
    </rPh>
    <phoneticPr fontId="3"/>
  </si>
  <si>
    <t>ボール弁</t>
    <rPh sb="3" eb="4">
      <t>ベン</t>
    </rPh>
    <phoneticPr fontId="3"/>
  </si>
  <si>
    <t>逆止弁</t>
    <rPh sb="0" eb="3">
      <t>ギャクシベン</t>
    </rPh>
    <phoneticPr fontId="3"/>
  </si>
  <si>
    <t>レベル計</t>
    <rPh sb="3" eb="4">
      <t>ケイ</t>
    </rPh>
    <phoneticPr fontId="3"/>
  </si>
  <si>
    <t>水位計</t>
    <rPh sb="0" eb="3">
      <t>スイイケイ</t>
    </rPh>
    <phoneticPr fontId="3"/>
  </si>
  <si>
    <t>ポンプ用制御盤</t>
    <rPh sb="3" eb="4">
      <t>ヨウ</t>
    </rPh>
    <rPh sb="4" eb="7">
      <t>セイギョバン</t>
    </rPh>
    <phoneticPr fontId="3"/>
  </si>
  <si>
    <t>面</t>
    <rPh sb="0" eb="1">
      <t>メン</t>
    </rPh>
    <phoneticPr fontId="3"/>
  </si>
  <si>
    <t>監視端末装置</t>
    <rPh sb="0" eb="2">
      <t>カンシ</t>
    </rPh>
    <rPh sb="2" eb="4">
      <t>タンマツ</t>
    </rPh>
    <rPh sb="4" eb="6">
      <t>ソウチ</t>
    </rPh>
    <phoneticPr fontId="3"/>
  </si>
  <si>
    <t>クラウド型監視装置
設定費</t>
    <rPh sb="4" eb="5">
      <t>ガタ</t>
    </rPh>
    <rPh sb="5" eb="7">
      <t>カンシ</t>
    </rPh>
    <rPh sb="7" eb="9">
      <t>ソウチ</t>
    </rPh>
    <rPh sb="10" eb="12">
      <t>セッテイ</t>
    </rPh>
    <rPh sb="12" eb="13">
      <t>ヒ</t>
    </rPh>
    <phoneticPr fontId="3"/>
  </si>
  <si>
    <t>式</t>
    <rPh sb="0" eb="1">
      <t>シキ</t>
    </rPh>
    <phoneticPr fontId="3"/>
  </si>
  <si>
    <r>
      <rPr>
        <sz val="6"/>
        <color theme="1"/>
        <rFont val="游ゴシック"/>
        <family val="3"/>
        <charset val="128"/>
        <scheme val="minor"/>
      </rPr>
      <t>配管用ｽﾃﾝﾚｽ鋼鋼管　JIS-G-3459</t>
    </r>
    <r>
      <rPr>
        <sz val="8"/>
        <color theme="1"/>
        <rFont val="游ゴシック"/>
        <family val="2"/>
        <charset val="128"/>
        <scheme val="minor"/>
      </rPr>
      <t xml:space="preserve">
32A
SUS
2.97kg/m</t>
    </r>
    <phoneticPr fontId="3"/>
  </si>
  <si>
    <r>
      <rPr>
        <sz val="6"/>
        <color theme="1"/>
        <rFont val="游ゴシック"/>
        <family val="3"/>
        <charset val="128"/>
        <scheme val="minor"/>
      </rPr>
      <t>配管用ｽﾃﾝﾚｽ鋼鋼管　JIS-G-3459</t>
    </r>
    <r>
      <rPr>
        <sz val="8"/>
        <color theme="1"/>
        <rFont val="游ゴシック"/>
        <family val="2"/>
        <charset val="128"/>
        <scheme val="minor"/>
      </rPr>
      <t xml:space="preserve">
25A
SUS
2.32kg/m</t>
    </r>
    <rPh sb="0" eb="3">
      <t>ハイカンヨウ</t>
    </rPh>
    <rPh sb="8" eb="9">
      <t>コウ</t>
    </rPh>
    <rPh sb="9" eb="11">
      <t>コウカン</t>
    </rPh>
    <phoneticPr fontId="3"/>
  </si>
  <si>
    <r>
      <rPr>
        <sz val="6"/>
        <color theme="1"/>
        <rFont val="游ゴシック"/>
        <family val="3"/>
        <charset val="128"/>
        <scheme val="minor"/>
      </rPr>
      <t>配管用ｽﾃﾝﾚｽ鋼鋼管　JIS-G-3459</t>
    </r>
    <r>
      <rPr>
        <sz val="8"/>
        <color theme="1"/>
        <rFont val="游ゴシック"/>
        <family val="2"/>
        <charset val="128"/>
        <scheme val="minor"/>
      </rPr>
      <t xml:space="preserve">
50A
SUS
4.97kg/m</t>
    </r>
    <phoneticPr fontId="3"/>
  </si>
  <si>
    <t>狩谷野目第３MP</t>
    <rPh sb="0" eb="2">
      <t>カリヤ</t>
    </rPh>
    <rPh sb="2" eb="3">
      <t>ノ</t>
    </rPh>
    <rPh sb="3" eb="4">
      <t>メ</t>
    </rPh>
    <rPh sb="4" eb="5">
      <t>ダイ</t>
    </rPh>
    <phoneticPr fontId="3"/>
  </si>
  <si>
    <t>（計）</t>
    <rPh sb="1" eb="2">
      <t>ケイ</t>
    </rPh>
    <phoneticPr fontId="3"/>
  </si>
  <si>
    <t>機械埋戻（管周り）</t>
    <rPh sb="0" eb="2">
      <t>キカイ</t>
    </rPh>
    <rPh sb="2" eb="4">
      <t>ウメモドシ</t>
    </rPh>
    <rPh sb="5" eb="6">
      <t>カン</t>
    </rPh>
    <rPh sb="6" eb="7">
      <t>マワ</t>
    </rPh>
    <phoneticPr fontId="3"/>
  </si>
  <si>
    <t>BH0.13m3
再生改良土</t>
    <rPh sb="9" eb="11">
      <t>サイセイ</t>
    </rPh>
    <rPh sb="11" eb="14">
      <t>カイリョウド</t>
    </rPh>
    <phoneticPr fontId="3"/>
  </si>
  <si>
    <t>Dt2.0t　L=4.0km
(自由処分)</t>
    <rPh sb="16" eb="18">
      <t>ジユウ</t>
    </rPh>
    <rPh sb="18" eb="20">
      <t>ショブン</t>
    </rPh>
    <phoneticPr fontId="3"/>
  </si>
  <si>
    <t>管内配線、40㎜以下</t>
    <rPh sb="0" eb="2">
      <t>カンナイ</t>
    </rPh>
    <rPh sb="2" eb="4">
      <t>ハイセン</t>
    </rPh>
    <rPh sb="8" eb="10">
      <t>イカ</t>
    </rPh>
    <phoneticPr fontId="3"/>
  </si>
  <si>
    <t>ケーブル（ポンプ）
VCT1.25-4C</t>
    <phoneticPr fontId="3"/>
  </si>
  <si>
    <t>硬質ビニル電線管
VE22</t>
    <rPh sb="0" eb="2">
      <t>コウシツ</t>
    </rPh>
    <rPh sb="5" eb="8">
      <t>デンセンカン</t>
    </rPh>
    <phoneticPr fontId="3"/>
  </si>
  <si>
    <t>R2土地改良工事積算基準(機械施設)p175</t>
    <rPh sb="2" eb="4">
      <t>トチ</t>
    </rPh>
    <rPh sb="4" eb="6">
      <t>カイリョウ</t>
    </rPh>
    <rPh sb="6" eb="8">
      <t>コウジ</t>
    </rPh>
    <rPh sb="8" eb="10">
      <t>セキサン</t>
    </rPh>
    <rPh sb="10" eb="12">
      <t>キジュン</t>
    </rPh>
    <rPh sb="13" eb="15">
      <t>キカイ</t>
    </rPh>
    <rPh sb="15" eb="17">
      <t>シセツ</t>
    </rPh>
    <phoneticPr fontId="3"/>
  </si>
  <si>
    <t>R2土地改良工事積算基準(機械施設)p190</t>
    <rPh sb="2" eb="4">
      <t>トチ</t>
    </rPh>
    <rPh sb="4" eb="6">
      <t>カイリョウ</t>
    </rPh>
    <rPh sb="6" eb="8">
      <t>コウジ</t>
    </rPh>
    <rPh sb="8" eb="10">
      <t>セキサン</t>
    </rPh>
    <rPh sb="10" eb="12">
      <t>キジュン</t>
    </rPh>
    <rPh sb="13" eb="15">
      <t>キカイ</t>
    </rPh>
    <rPh sb="15" eb="17">
      <t>シセツ</t>
    </rPh>
    <phoneticPr fontId="3"/>
  </si>
  <si>
    <t>8m以下</t>
    <rPh sb="2" eb="4">
      <t>イカ</t>
    </rPh>
    <phoneticPr fontId="3"/>
  </si>
  <si>
    <t>再生改良土</t>
    <rPh sb="0" eb="2">
      <t>サイセイ</t>
    </rPh>
    <rPh sb="2" eb="5">
      <t>カイリョウド</t>
    </rPh>
    <phoneticPr fontId="3"/>
  </si>
  <si>
    <t>第２種処理土</t>
    <rPh sb="0" eb="1">
      <t>ダイ</t>
    </rPh>
    <rPh sb="2" eb="3">
      <t>シュ</t>
    </rPh>
    <rPh sb="3" eb="5">
      <t>ショリ</t>
    </rPh>
    <rPh sb="5" eb="6">
      <t>ド</t>
    </rPh>
    <phoneticPr fontId="3"/>
  </si>
  <si>
    <t>丘砂（砂丘砂）</t>
    <rPh sb="0" eb="1">
      <t>オカ</t>
    </rPh>
    <rPh sb="1" eb="2">
      <t>スナ</t>
    </rPh>
    <rPh sb="3" eb="5">
      <t>サキュウ</t>
    </rPh>
    <rPh sb="5" eb="6">
      <t>スナ</t>
    </rPh>
    <phoneticPr fontId="3"/>
  </si>
  <si>
    <t>幅150㎜×50m
2倍ﾎﾟﾘｴﾁﾚﾝｸﾛｽ</t>
    <rPh sb="0" eb="1">
      <t>ハバ</t>
    </rPh>
    <rPh sb="11" eb="12">
      <t>バイ</t>
    </rPh>
    <phoneticPr fontId="3"/>
  </si>
  <si>
    <t>障害等無し、騒音振動対策不要
積込作業有り　15㎝以下</t>
    <rPh sb="0" eb="2">
      <t>ショウガイ</t>
    </rPh>
    <rPh sb="2" eb="3">
      <t>トウ</t>
    </rPh>
    <rPh sb="3" eb="4">
      <t>ナ</t>
    </rPh>
    <rPh sb="6" eb="8">
      <t>ソウオン</t>
    </rPh>
    <rPh sb="8" eb="10">
      <t>シンドウ</t>
    </rPh>
    <rPh sb="10" eb="12">
      <t>タイサク</t>
    </rPh>
    <rPh sb="12" eb="14">
      <t>フヨウ</t>
    </rPh>
    <rPh sb="15" eb="17">
      <t>ツミコミ</t>
    </rPh>
    <rPh sb="17" eb="19">
      <t>サギョウ</t>
    </rPh>
    <rPh sb="19" eb="20">
      <t>ア</t>
    </rPh>
    <rPh sb="25" eb="27">
      <t>イカ</t>
    </rPh>
    <phoneticPr fontId="3"/>
  </si>
  <si>
    <t>機械積込（小規模土工）
DID区間無し　5.5km以下</t>
    <rPh sb="0" eb="2">
      <t>キカイ</t>
    </rPh>
    <rPh sb="2" eb="4">
      <t>ツミコミ</t>
    </rPh>
    <rPh sb="5" eb="8">
      <t>ショウキボ</t>
    </rPh>
    <rPh sb="8" eb="10">
      <t>ドコウ</t>
    </rPh>
    <rPh sb="15" eb="17">
      <t>クカン</t>
    </rPh>
    <rPh sb="17" eb="18">
      <t>ナ</t>
    </rPh>
    <rPh sb="25" eb="27">
      <t>イカ</t>
    </rPh>
    <phoneticPr fontId="3"/>
  </si>
  <si>
    <t>ｱｽﾌｧﾙﾄ塊（再資源処理：解体前）</t>
    <rPh sb="6" eb="7">
      <t>カタマリ</t>
    </rPh>
    <rPh sb="8" eb="11">
      <t>サイシゲン</t>
    </rPh>
    <rPh sb="11" eb="13">
      <t>ショリ</t>
    </rPh>
    <rPh sb="14" eb="16">
      <t>カイタイ</t>
    </rPh>
    <rPh sb="16" eb="17">
      <t>マエ</t>
    </rPh>
    <phoneticPr fontId="3"/>
  </si>
  <si>
    <t>1層施工 粒度調整砕石40㎜</t>
    <phoneticPr fontId="3"/>
  </si>
  <si>
    <t>1層施工 再生ｸﾗｯｼｬﾗﾝ40㎜</t>
    <phoneticPr fontId="3"/>
  </si>
  <si>
    <t>参考寸法 W700×D450×H1,550</t>
    <rPh sb="0" eb="2">
      <t>サンコウ</t>
    </rPh>
    <rPh sb="2" eb="4">
      <t>スンポウ</t>
    </rPh>
    <phoneticPr fontId="3"/>
  </si>
  <si>
    <t>見積</t>
    <rPh sb="0" eb="2">
      <t>ミツモリ</t>
    </rPh>
    <phoneticPr fontId="3"/>
  </si>
  <si>
    <t>物価/資料</t>
    <rPh sb="0" eb="2">
      <t>ブッカ</t>
    </rPh>
    <rPh sb="3" eb="5">
      <t>シリョウ</t>
    </rPh>
    <phoneticPr fontId="3"/>
  </si>
  <si>
    <t>小型バックホウ掘削積込</t>
    <rPh sb="0" eb="2">
      <t>コガタ</t>
    </rPh>
    <rPh sb="7" eb="9">
      <t>クッサク</t>
    </rPh>
    <rPh sb="9" eb="11">
      <t>ツミコミ</t>
    </rPh>
    <phoneticPr fontId="3"/>
  </si>
  <si>
    <t>削孔代</t>
    <rPh sb="0" eb="2">
      <t>サッコウ</t>
    </rPh>
    <rPh sb="2" eb="3">
      <t>ダイ</t>
    </rPh>
    <phoneticPr fontId="3"/>
  </si>
  <si>
    <t>0号・1号
塩ビ管　径100用</t>
    <rPh sb="1" eb="2">
      <t>ゴウ</t>
    </rPh>
    <rPh sb="4" eb="5">
      <t>ゴウ</t>
    </rPh>
    <rPh sb="6" eb="7">
      <t>エン</t>
    </rPh>
    <rPh sb="8" eb="9">
      <t>カン</t>
    </rPh>
    <rPh sb="10" eb="11">
      <t>ケイ</t>
    </rPh>
    <rPh sb="14" eb="15">
      <t>ヨウ</t>
    </rPh>
    <phoneticPr fontId="3"/>
  </si>
  <si>
    <t>山積0.13m3(平積0.10m3)
油圧式ｸﾛｰﾗ型　排対型(2次)</t>
    <rPh sb="0" eb="1">
      <t>ヤマ</t>
    </rPh>
    <rPh sb="1" eb="2">
      <t>ツ</t>
    </rPh>
    <rPh sb="9" eb="10">
      <t>ヒラ</t>
    </rPh>
    <rPh sb="10" eb="11">
      <t>ツ</t>
    </rPh>
    <rPh sb="19" eb="21">
      <t>ユアツ</t>
    </rPh>
    <rPh sb="21" eb="22">
      <t>シキ</t>
    </rPh>
    <rPh sb="26" eb="27">
      <t>ガタ</t>
    </rPh>
    <rPh sb="28" eb="29">
      <t>ハイ</t>
    </rPh>
    <rPh sb="29" eb="30">
      <t>タイ</t>
    </rPh>
    <rPh sb="30" eb="31">
      <t>カタ</t>
    </rPh>
    <rPh sb="33" eb="34">
      <t>ジ</t>
    </rPh>
    <phoneticPr fontId="3"/>
  </si>
  <si>
    <t>機械投入埋戻工
（管周巻立部）</t>
    <rPh sb="0" eb="2">
      <t>キカイ</t>
    </rPh>
    <rPh sb="2" eb="4">
      <t>トウニュウ</t>
    </rPh>
    <rPh sb="4" eb="6">
      <t>ウメモドシ</t>
    </rPh>
    <rPh sb="6" eb="7">
      <t>コウ</t>
    </rPh>
    <rPh sb="9" eb="10">
      <t>カン</t>
    </rPh>
    <rPh sb="10" eb="11">
      <t>シュウ</t>
    </rPh>
    <rPh sb="11" eb="12">
      <t>カン</t>
    </rPh>
    <rPh sb="12" eb="13">
      <t>リツ</t>
    </rPh>
    <rPh sb="13" eb="14">
      <t>ブ</t>
    </rPh>
    <phoneticPr fontId="3"/>
  </si>
  <si>
    <t>機械掘削工
（小型ﾊﾞｯｸﾎｳ）</t>
    <rPh sb="0" eb="2">
      <t>キカイ</t>
    </rPh>
    <rPh sb="2" eb="4">
      <t>クッサク</t>
    </rPh>
    <rPh sb="4" eb="5">
      <t>コウ</t>
    </rPh>
    <rPh sb="7" eb="9">
      <t>コガタ</t>
    </rPh>
    <phoneticPr fontId="3"/>
  </si>
  <si>
    <t>第2号単価表</t>
    <rPh sb="0" eb="1">
      <t>ダイ</t>
    </rPh>
    <rPh sb="2" eb="3">
      <t>ゴウ</t>
    </rPh>
    <rPh sb="3" eb="5">
      <t>タンカ</t>
    </rPh>
    <rPh sb="5" eb="6">
      <t>ヒョウ</t>
    </rPh>
    <phoneticPr fontId="3"/>
  </si>
  <si>
    <t>第1号単価表</t>
    <rPh sb="0" eb="1">
      <t>ダイ</t>
    </rPh>
    <rPh sb="2" eb="3">
      <t>ゴウ</t>
    </rPh>
    <rPh sb="3" eb="5">
      <t>タンカ</t>
    </rPh>
    <rPh sb="5" eb="6">
      <t>ヒョウ</t>
    </rPh>
    <phoneticPr fontId="3"/>
  </si>
  <si>
    <t>機械投入埋戻工</t>
    <rPh sb="0" eb="2">
      <t>キカイ</t>
    </rPh>
    <rPh sb="2" eb="4">
      <t>トウニュウ</t>
    </rPh>
    <rPh sb="4" eb="6">
      <t>ウメモドシ</t>
    </rPh>
    <rPh sb="6" eb="7">
      <t>コウ</t>
    </rPh>
    <phoneticPr fontId="3"/>
  </si>
  <si>
    <t>第4号単価表</t>
    <rPh sb="0" eb="1">
      <t>ダイ</t>
    </rPh>
    <rPh sb="2" eb="3">
      <t>ゴウ</t>
    </rPh>
    <rPh sb="3" eb="5">
      <t>タンカ</t>
    </rPh>
    <rPh sb="5" eb="6">
      <t>ヒョウ</t>
    </rPh>
    <phoneticPr fontId="3"/>
  </si>
  <si>
    <t>土砂等運搬</t>
    <rPh sb="0" eb="2">
      <t>ドシャ</t>
    </rPh>
    <rPh sb="2" eb="3">
      <t>トウ</t>
    </rPh>
    <rPh sb="3" eb="5">
      <t>ウンパン</t>
    </rPh>
    <phoneticPr fontId="3"/>
  </si>
  <si>
    <t>土砂(岩塊・玉石混り土含む)
小規模 ﾊﾞｯｸﾎｳ山積0.13m3(平積0.10m3)
DID区間無し　4.5km以下</t>
    <rPh sb="0" eb="2">
      <t>ドシャ</t>
    </rPh>
    <rPh sb="3" eb="4">
      <t>イワ</t>
    </rPh>
    <rPh sb="4" eb="5">
      <t>カタマリ</t>
    </rPh>
    <rPh sb="6" eb="8">
      <t>タマイシ</t>
    </rPh>
    <rPh sb="8" eb="9">
      <t>マ</t>
    </rPh>
    <rPh sb="10" eb="11">
      <t>ツチ</t>
    </rPh>
    <rPh sb="11" eb="12">
      <t>フク</t>
    </rPh>
    <rPh sb="15" eb="18">
      <t>ショウキボ</t>
    </rPh>
    <rPh sb="25" eb="26">
      <t>ヤマ</t>
    </rPh>
    <rPh sb="26" eb="27">
      <t>ツ</t>
    </rPh>
    <rPh sb="34" eb="35">
      <t>ヒラ</t>
    </rPh>
    <rPh sb="35" eb="36">
      <t>ツ</t>
    </rPh>
    <rPh sb="47" eb="49">
      <t>クカン</t>
    </rPh>
    <rPh sb="49" eb="50">
      <t>ナ</t>
    </rPh>
    <rPh sb="57" eb="59">
      <t>イカ</t>
    </rPh>
    <phoneticPr fontId="3"/>
  </si>
  <si>
    <t>第1号施工P単価表</t>
    <rPh sb="0" eb="1">
      <t>ダイ</t>
    </rPh>
    <rPh sb="2" eb="3">
      <t>ゴウ</t>
    </rPh>
    <rPh sb="3" eb="5">
      <t>セコウ</t>
    </rPh>
    <rPh sb="6" eb="8">
      <t>タンカ</t>
    </rPh>
    <rPh sb="8" eb="9">
      <t>ヒョウ</t>
    </rPh>
    <phoneticPr fontId="3"/>
  </si>
  <si>
    <t>第2号施工P単価表</t>
    <rPh sb="0" eb="1">
      <t>ダイ</t>
    </rPh>
    <rPh sb="2" eb="3">
      <t>ゴウ</t>
    </rPh>
    <rPh sb="3" eb="5">
      <t>セコウ</t>
    </rPh>
    <rPh sb="6" eb="8">
      <t>タンカ</t>
    </rPh>
    <rPh sb="8" eb="9">
      <t>ヒョウ</t>
    </rPh>
    <phoneticPr fontId="3"/>
  </si>
  <si>
    <t>砂基礎設置工</t>
    <rPh sb="0" eb="1">
      <t>スナ</t>
    </rPh>
    <rPh sb="1" eb="3">
      <t>キソ</t>
    </rPh>
    <rPh sb="3" eb="5">
      <t>セッチ</t>
    </rPh>
    <rPh sb="5" eb="6">
      <t>コウ</t>
    </rPh>
    <phoneticPr fontId="3"/>
  </si>
  <si>
    <t>第5号単価表</t>
    <rPh sb="0" eb="1">
      <t>ダイ</t>
    </rPh>
    <rPh sb="2" eb="3">
      <t>ゴウ</t>
    </rPh>
    <rPh sb="3" eb="5">
      <t>タンカ</t>
    </rPh>
    <rPh sb="5" eb="6">
      <t>ヒョウ</t>
    </rPh>
    <phoneticPr fontId="3"/>
  </si>
  <si>
    <t>第3号施工P単価表</t>
    <rPh sb="0" eb="1">
      <t>ダイ</t>
    </rPh>
    <rPh sb="2" eb="3">
      <t>ゴウ</t>
    </rPh>
    <rPh sb="3" eb="5">
      <t>セコウ</t>
    </rPh>
    <rPh sb="6" eb="8">
      <t>タンカ</t>
    </rPh>
    <rPh sb="8" eb="9">
      <t>ヒョウ</t>
    </rPh>
    <phoneticPr fontId="3"/>
  </si>
  <si>
    <t>第4号施工P単価表</t>
    <rPh sb="0" eb="1">
      <t>ダイ</t>
    </rPh>
    <rPh sb="2" eb="3">
      <t>ゴウ</t>
    </rPh>
    <rPh sb="3" eb="5">
      <t>セコウ</t>
    </rPh>
    <rPh sb="6" eb="8">
      <t>タンカ</t>
    </rPh>
    <rPh sb="8" eb="9">
      <t>ヒョウ</t>
    </rPh>
    <phoneticPr fontId="3"/>
  </si>
  <si>
    <t>第5号施工P単価表</t>
    <rPh sb="0" eb="1">
      <t>ダイ</t>
    </rPh>
    <rPh sb="2" eb="3">
      <t>ゴウ</t>
    </rPh>
    <rPh sb="3" eb="5">
      <t>セコウ</t>
    </rPh>
    <rPh sb="6" eb="8">
      <t>タンカ</t>
    </rPh>
    <rPh sb="8" eb="9">
      <t>ヒョウ</t>
    </rPh>
    <phoneticPr fontId="3"/>
  </si>
  <si>
    <t>15㎝以下</t>
    <rPh sb="3" eb="5">
      <t>イカ</t>
    </rPh>
    <phoneticPr fontId="3"/>
  </si>
  <si>
    <t>舗装版切断
（ｱｽﾌｧﾙﾄ舗装版）</t>
    <rPh sb="0" eb="2">
      <t>ホソウ</t>
    </rPh>
    <rPh sb="2" eb="3">
      <t>バン</t>
    </rPh>
    <rPh sb="3" eb="5">
      <t>セツダン</t>
    </rPh>
    <rPh sb="13" eb="15">
      <t>ホソウ</t>
    </rPh>
    <rPh sb="15" eb="16">
      <t>バン</t>
    </rPh>
    <phoneticPr fontId="3"/>
  </si>
  <si>
    <t>舗装版破砕
（ｱｽﾌｧﾙﾄ舗装版）</t>
    <rPh sb="0" eb="2">
      <t>ホソウ</t>
    </rPh>
    <rPh sb="2" eb="3">
      <t>バン</t>
    </rPh>
    <rPh sb="3" eb="5">
      <t>ハサイ</t>
    </rPh>
    <rPh sb="13" eb="16">
      <t>ホソウバン</t>
    </rPh>
    <phoneticPr fontId="3"/>
  </si>
  <si>
    <t>殻運搬
（舗装版破砕）</t>
    <rPh sb="0" eb="1">
      <t>ガラ</t>
    </rPh>
    <rPh sb="1" eb="3">
      <t>ウンパン</t>
    </rPh>
    <rPh sb="5" eb="7">
      <t>ホソウ</t>
    </rPh>
    <rPh sb="7" eb="8">
      <t>バン</t>
    </rPh>
    <rPh sb="8" eb="10">
      <t>ハサイ</t>
    </rPh>
    <phoneticPr fontId="3"/>
  </si>
  <si>
    <t>第6号施工P単価表</t>
    <rPh sb="0" eb="1">
      <t>ダイ</t>
    </rPh>
    <rPh sb="2" eb="3">
      <t>ゴウ</t>
    </rPh>
    <rPh sb="3" eb="5">
      <t>セコウ</t>
    </rPh>
    <rPh sb="6" eb="8">
      <t>タンカ</t>
    </rPh>
    <rPh sb="8" eb="9">
      <t>ヒョウ</t>
    </rPh>
    <phoneticPr fontId="3"/>
  </si>
  <si>
    <t>丘砂
小型ﾊﾞｯｸﾎｳ
山積0.13m3(平積0.10m3)</t>
    <rPh sb="0" eb="1">
      <t>オカ</t>
    </rPh>
    <rPh sb="1" eb="2">
      <t>スナ</t>
    </rPh>
    <rPh sb="3" eb="5">
      <t>コガタ</t>
    </rPh>
    <rPh sb="12" eb="13">
      <t>ヤマ</t>
    </rPh>
    <rPh sb="13" eb="14">
      <t>ツ</t>
    </rPh>
    <rPh sb="21" eb="22">
      <t>ヒラ</t>
    </rPh>
    <rPh sb="22" eb="23">
      <t>ツ</t>
    </rPh>
    <phoneticPr fontId="3"/>
  </si>
  <si>
    <t>再生改良土
小型ﾊﾞｯｸﾎｳ
山積0.13m3(平積0.10m3)</t>
    <rPh sb="0" eb="2">
      <t>サイセイ</t>
    </rPh>
    <rPh sb="2" eb="5">
      <t>カイリョウド</t>
    </rPh>
    <rPh sb="6" eb="8">
      <t>コガタ</t>
    </rPh>
    <rPh sb="15" eb="16">
      <t>ヤマ</t>
    </rPh>
    <rPh sb="16" eb="17">
      <t>ツ</t>
    </rPh>
    <rPh sb="24" eb="25">
      <t>ヒラ</t>
    </rPh>
    <rPh sb="25" eb="26">
      <t>ツ</t>
    </rPh>
    <phoneticPr fontId="3"/>
  </si>
  <si>
    <t>マンホールポンプ積算（2023.07.19）</t>
    <rPh sb="8" eb="10">
      <t>セキサン</t>
    </rPh>
    <phoneticPr fontId="3"/>
  </si>
  <si>
    <t>マンホール型（2台用）
FRP
（重量 38.5kg/台）</t>
    <rPh sb="5" eb="6">
      <t>ガタ</t>
    </rPh>
    <rPh sb="8" eb="9">
      <t>ダイ</t>
    </rPh>
    <rPh sb="9" eb="10">
      <t>ヨウ</t>
    </rPh>
    <rPh sb="17" eb="19">
      <t>ジュウリョウ</t>
    </rPh>
    <rPh sb="27" eb="28">
      <t>ダイ</t>
    </rPh>
    <phoneticPr fontId="3"/>
  </si>
  <si>
    <t>65A×10K
SCS13
ﾎﾞｰﾙ式
（重量14.5kg/個）</t>
    <rPh sb="18" eb="19">
      <t>シキ</t>
    </rPh>
    <rPh sb="21" eb="23">
      <t>ジュウリョウ</t>
    </rPh>
    <rPh sb="30" eb="31">
      <t>コ</t>
    </rPh>
    <phoneticPr fontId="3"/>
  </si>
  <si>
    <t>65A×10K
SCS/NBR+
ﾎﾞｰﾙ式　排気弁付
（重量15.5kg/個）</t>
    <rPh sb="21" eb="22">
      <t>シキ</t>
    </rPh>
    <rPh sb="23" eb="25">
      <t>ハイキ</t>
    </rPh>
    <rPh sb="25" eb="26">
      <t>ベン</t>
    </rPh>
    <rPh sb="26" eb="27">
      <t>ツ</t>
    </rPh>
    <rPh sb="29" eb="31">
      <t>ジュウリョウ</t>
    </rPh>
    <rPh sb="38" eb="39">
      <t>コ</t>
    </rPh>
    <phoneticPr fontId="3"/>
  </si>
  <si>
    <t>投込圧力式
ｹｰﾌﾞﾙ20m程度
（重量5.2kg/個）</t>
    <rPh sb="0" eb="2">
      <t>ナゲコ</t>
    </rPh>
    <rPh sb="2" eb="4">
      <t>アツリョク</t>
    </rPh>
    <rPh sb="4" eb="5">
      <t>シキ</t>
    </rPh>
    <rPh sb="14" eb="16">
      <t>テイド</t>
    </rPh>
    <rPh sb="18" eb="20">
      <t>ジュウリョウ</t>
    </rPh>
    <rPh sb="26" eb="27">
      <t>コ</t>
    </rPh>
    <phoneticPr fontId="3"/>
  </si>
  <si>
    <t>クラウド型監視装置
（重量1.0kg/面）</t>
    <rPh sb="4" eb="5">
      <t>ガタ</t>
    </rPh>
    <rPh sb="5" eb="7">
      <t>カンシ</t>
    </rPh>
    <rPh sb="7" eb="9">
      <t>ソウチ</t>
    </rPh>
    <rPh sb="11" eb="13">
      <t>ジュウリョウ</t>
    </rPh>
    <rPh sb="19" eb="20">
      <t>メン</t>
    </rPh>
    <phoneticPr fontId="3"/>
  </si>
  <si>
    <t>屋外装柱型　2段扉（2窓）
SUS304
（重量28.9kg/面）</t>
    <rPh sb="0" eb="2">
      <t>オクガイ</t>
    </rPh>
    <rPh sb="2" eb="4">
      <t>ソウチュウ</t>
    </rPh>
    <rPh sb="4" eb="5">
      <t>ガタ</t>
    </rPh>
    <rPh sb="7" eb="8">
      <t>ダン</t>
    </rPh>
    <rPh sb="8" eb="9">
      <t>トビラ</t>
    </rPh>
    <rPh sb="11" eb="12">
      <t>マド</t>
    </rPh>
    <rPh sb="22" eb="24">
      <t>ジュウリョウ</t>
    </rPh>
    <rPh sb="31" eb="32">
      <t>メン</t>
    </rPh>
    <phoneticPr fontId="3"/>
  </si>
  <si>
    <t>流入副管
(し渣かご付)</t>
    <phoneticPr fontId="3"/>
  </si>
  <si>
    <t>本</t>
    <rPh sb="0" eb="1">
      <t>ホン</t>
    </rPh>
    <phoneticPr fontId="3"/>
  </si>
  <si>
    <t>250W×100T×700L
SUS304
（重量8.0kg/本）</t>
    <rPh sb="31" eb="32">
      <t>ホン</t>
    </rPh>
    <phoneticPr fontId="3"/>
  </si>
  <si>
    <t>吐出管
(2F集合管)</t>
    <phoneticPr fontId="3"/>
  </si>
  <si>
    <t>中間足場</t>
    <phoneticPr fontId="3"/>
  </si>
  <si>
    <t>足場：ｽﾃﾝﾚｽｴｷｽﾊﾞﾝﾄﾞﾒﾀﾙ
架台：ｽﾃﾝﾚｽ不等辺山形鋼
SUS304、耐荷重300㎏
(3号ﾏﾝﾎｰﾙ用)（重量55.8kg/本）</t>
    <phoneticPr fontId="3"/>
  </si>
  <si>
    <t>基</t>
    <rPh sb="0" eb="1">
      <t>キ</t>
    </rPh>
    <phoneticPr fontId="3"/>
  </si>
  <si>
    <t>2号
塩ビ管　径100用</t>
    <rPh sb="1" eb="2">
      <t>ゴウ</t>
    </rPh>
    <rPh sb="3" eb="4">
      <t>エン</t>
    </rPh>
    <rPh sb="5" eb="6">
      <t>カン</t>
    </rPh>
    <rPh sb="7" eb="8">
      <t>ケイ</t>
    </rPh>
    <rPh sb="11" eb="12">
      <t>ヨウ</t>
    </rPh>
    <phoneticPr fontId="3"/>
  </si>
  <si>
    <t>3号
塩ビ管　径300用</t>
    <rPh sb="1" eb="2">
      <t>ゴウ</t>
    </rPh>
    <rPh sb="3" eb="4">
      <t>エン</t>
    </rPh>
    <rPh sb="5" eb="6">
      <t>カン</t>
    </rPh>
    <rPh sb="7" eb="8">
      <t>ケイ</t>
    </rPh>
    <rPh sb="11" eb="12">
      <t>ヨウ</t>
    </rPh>
    <phoneticPr fontId="3"/>
  </si>
  <si>
    <t>2023.7　p455</t>
    <phoneticPr fontId="3"/>
  </si>
  <si>
    <t>2023.7　p321</t>
    <phoneticPr fontId="3"/>
  </si>
  <si>
    <t>H10.0m　末口19㎝
670kg</t>
    <rPh sb="7" eb="8">
      <t>スエ</t>
    </rPh>
    <rPh sb="8" eb="9">
      <t>クチ</t>
    </rPh>
    <phoneticPr fontId="3"/>
  </si>
  <si>
    <t>関東</t>
    <rPh sb="0" eb="2">
      <t>カントウ</t>
    </rPh>
    <phoneticPr fontId="3"/>
  </si>
  <si>
    <t>2023.7　p736</t>
    <phoneticPr fontId="3"/>
  </si>
  <si>
    <t>2023.7　p755</t>
    <phoneticPr fontId="3"/>
  </si>
  <si>
    <t>Φ14用　22㎜2×500</t>
    <rPh sb="3" eb="4">
      <t>ヨウ</t>
    </rPh>
    <phoneticPr fontId="3"/>
  </si>
  <si>
    <t>Φ14　1,500㎜</t>
    <phoneticPr fontId="3"/>
  </si>
  <si>
    <t>Φ10　1,500㎜</t>
    <phoneticPr fontId="3"/>
  </si>
  <si>
    <r>
      <rPr>
        <sz val="6"/>
        <color theme="1"/>
        <rFont val="游ゴシック"/>
        <family val="3"/>
        <charset val="128"/>
        <scheme val="minor"/>
      </rPr>
      <t>波付硬質合成樹脂管用付属品</t>
    </r>
    <r>
      <rPr>
        <sz val="8"/>
        <color theme="1"/>
        <rFont val="游ゴシック"/>
        <family val="2"/>
        <charset val="128"/>
        <scheme val="minor"/>
      </rPr>
      <t xml:space="preserve">
FEP80用</t>
    </r>
    <rPh sb="19" eb="20">
      <t>ヨウ</t>
    </rPh>
    <phoneticPr fontId="3"/>
  </si>
  <si>
    <t>2023.7　p578</t>
    <phoneticPr fontId="3"/>
  </si>
  <si>
    <t>2023.7　p693</t>
    <phoneticPr fontId="3"/>
  </si>
  <si>
    <r>
      <rPr>
        <sz val="6"/>
        <color theme="1"/>
        <rFont val="游ゴシック"/>
        <family val="3"/>
        <charset val="128"/>
        <scheme val="minor"/>
      </rPr>
      <t>硬質ﾋﾞﾆﾙ電線管　JIS-C-8430</t>
    </r>
    <r>
      <rPr>
        <sz val="8"/>
        <color theme="1"/>
        <rFont val="游ゴシック"/>
        <family val="2"/>
        <charset val="128"/>
        <scheme val="minor"/>
      </rPr>
      <t xml:space="preserve">
VE70</t>
    </r>
    <rPh sb="0" eb="2">
      <t>コウシツ</t>
    </rPh>
    <phoneticPr fontId="3"/>
  </si>
  <si>
    <r>
      <rPr>
        <sz val="6"/>
        <color theme="1"/>
        <rFont val="游ゴシック"/>
        <family val="3"/>
        <charset val="128"/>
        <scheme val="minor"/>
      </rPr>
      <t>硬質ﾋﾞﾆﾙ電線管　JIS-C-8430</t>
    </r>
    <r>
      <rPr>
        <sz val="8"/>
        <color theme="1"/>
        <rFont val="游ゴシック"/>
        <family val="2"/>
        <charset val="128"/>
        <scheme val="minor"/>
      </rPr>
      <t xml:space="preserve">
VE42</t>
    </r>
    <rPh sb="0" eb="2">
      <t>コウシツ</t>
    </rPh>
    <phoneticPr fontId="3"/>
  </si>
  <si>
    <t>2023.7.　p570</t>
    <phoneticPr fontId="3"/>
  </si>
  <si>
    <t>2023.7　p573</t>
    <phoneticPr fontId="3"/>
  </si>
  <si>
    <r>
      <rPr>
        <sz val="6"/>
        <color theme="1"/>
        <rFont val="游ゴシック"/>
        <family val="3"/>
        <charset val="128"/>
        <scheme val="minor"/>
      </rPr>
      <t>合成樹脂製可とう電線管(大口径)</t>
    </r>
    <r>
      <rPr>
        <sz val="8"/>
        <color theme="1"/>
        <rFont val="游ゴシック"/>
        <family val="2"/>
        <charset val="128"/>
        <scheme val="minor"/>
      </rPr>
      <t xml:space="preserve">
PF70</t>
    </r>
    <phoneticPr fontId="3"/>
  </si>
  <si>
    <r>
      <rPr>
        <sz val="6"/>
        <color theme="1"/>
        <rFont val="游ゴシック"/>
        <family val="3"/>
        <charset val="128"/>
        <scheme val="minor"/>
      </rPr>
      <t>合成樹脂製可とう電線管(大口径)</t>
    </r>
    <r>
      <rPr>
        <sz val="8"/>
        <color theme="1"/>
        <rFont val="游ゴシック"/>
        <family val="2"/>
        <charset val="128"/>
        <scheme val="minor"/>
      </rPr>
      <t xml:space="preserve">
PF54</t>
    </r>
    <phoneticPr fontId="3"/>
  </si>
  <si>
    <t>2023.7　p689</t>
    <phoneticPr fontId="3"/>
  </si>
  <si>
    <r>
      <rPr>
        <sz val="6"/>
        <color theme="1"/>
        <rFont val="游ゴシック"/>
        <family val="3"/>
        <charset val="128"/>
        <scheme val="minor"/>
      </rPr>
      <t>耐衝撃性硬質ﾋﾞﾆﾙ電線管　JIS-C-8430</t>
    </r>
    <r>
      <rPr>
        <sz val="8"/>
        <color theme="1"/>
        <rFont val="游ゴシック"/>
        <family val="2"/>
        <charset val="128"/>
        <scheme val="minor"/>
      </rPr>
      <t xml:space="preserve">
HIVE70</t>
    </r>
    <rPh sb="0" eb="1">
      <t>タイ</t>
    </rPh>
    <rPh sb="1" eb="4">
      <t>ショウゲキセイ</t>
    </rPh>
    <phoneticPr fontId="3"/>
  </si>
  <si>
    <r>
      <rPr>
        <sz val="6"/>
        <color theme="1"/>
        <rFont val="游ゴシック"/>
        <family val="3"/>
        <charset val="128"/>
        <scheme val="minor"/>
      </rPr>
      <t>耐衝撃性硬質ﾋﾞﾆﾙ電線管　JIS-C-8430</t>
    </r>
    <r>
      <rPr>
        <sz val="8"/>
        <color theme="1"/>
        <rFont val="游ゴシック"/>
        <family val="3"/>
        <charset val="128"/>
        <scheme val="minor"/>
      </rPr>
      <t xml:space="preserve">
HIVE22</t>
    </r>
    <rPh sb="0" eb="1">
      <t>タイ</t>
    </rPh>
    <rPh sb="1" eb="3">
      <t>ショウゲキ</t>
    </rPh>
    <rPh sb="3" eb="4">
      <t>セイ</t>
    </rPh>
    <rPh sb="4" eb="6">
      <t>コウシツ</t>
    </rPh>
    <rPh sb="10" eb="12">
      <t>デンセン</t>
    </rPh>
    <rPh sb="12" eb="13">
      <t>カン</t>
    </rPh>
    <phoneticPr fontId="3"/>
  </si>
  <si>
    <r>
      <rPr>
        <sz val="6"/>
        <color theme="1"/>
        <rFont val="游ゴシック"/>
        <family val="3"/>
        <charset val="128"/>
        <scheme val="minor"/>
      </rPr>
      <t>耐衝撃性硬質ﾋﾞﾆﾙ電線管　JIS-C-8430</t>
    </r>
    <r>
      <rPr>
        <sz val="8"/>
        <color theme="1"/>
        <rFont val="游ゴシック"/>
        <family val="3"/>
        <charset val="128"/>
        <scheme val="minor"/>
      </rPr>
      <t xml:space="preserve">
HIVE42</t>
    </r>
    <rPh sb="0" eb="1">
      <t>タイ</t>
    </rPh>
    <rPh sb="1" eb="3">
      <t>ショウゲキ</t>
    </rPh>
    <rPh sb="3" eb="4">
      <t>セイ</t>
    </rPh>
    <phoneticPr fontId="3"/>
  </si>
  <si>
    <r>
      <rPr>
        <sz val="6"/>
        <color theme="1"/>
        <rFont val="游ゴシック"/>
        <family val="3"/>
        <charset val="128"/>
        <scheme val="minor"/>
      </rPr>
      <t>耐衝撃性硬質ﾋﾞﾆﾙ電線管　JIS-C-8430</t>
    </r>
    <r>
      <rPr>
        <sz val="8"/>
        <color theme="1"/>
        <rFont val="游ゴシック"/>
        <family val="3"/>
        <charset val="128"/>
        <scheme val="minor"/>
      </rPr>
      <t xml:space="preserve">
HIVE54</t>
    </r>
    <rPh sb="0" eb="1">
      <t>タイ</t>
    </rPh>
    <rPh sb="1" eb="4">
      <t>ショウゲキセイ</t>
    </rPh>
    <phoneticPr fontId="3"/>
  </si>
  <si>
    <t>2023.7　p574</t>
    <phoneticPr fontId="3"/>
  </si>
  <si>
    <r>
      <rPr>
        <sz val="6"/>
        <color theme="1"/>
        <rFont val="游ゴシック"/>
        <family val="3"/>
        <charset val="128"/>
        <scheme val="minor"/>
      </rPr>
      <t>波付硬質ﾎﾟﾘｴﾁﾚﾝ管</t>
    </r>
    <r>
      <rPr>
        <sz val="8"/>
        <color theme="1"/>
        <rFont val="游ゴシック"/>
        <family val="3"/>
        <charset val="128"/>
        <scheme val="minor"/>
      </rPr>
      <t xml:space="preserve">
FEP30</t>
    </r>
    <rPh sb="0" eb="1">
      <t>ナミ</t>
    </rPh>
    <rPh sb="1" eb="2">
      <t>ツ</t>
    </rPh>
    <rPh sb="2" eb="4">
      <t>コウシツ</t>
    </rPh>
    <rPh sb="11" eb="12">
      <t>カン</t>
    </rPh>
    <phoneticPr fontId="3"/>
  </si>
  <si>
    <r>
      <rPr>
        <sz val="6"/>
        <color theme="1"/>
        <rFont val="游ゴシック"/>
        <family val="3"/>
        <charset val="128"/>
        <scheme val="minor"/>
      </rPr>
      <t>波付硬質ﾎﾟﾘｴﾁﾚﾝ管</t>
    </r>
    <r>
      <rPr>
        <sz val="8"/>
        <color theme="1"/>
        <rFont val="游ゴシック"/>
        <family val="3"/>
        <charset val="128"/>
        <scheme val="minor"/>
      </rPr>
      <t xml:space="preserve">
FEP40</t>
    </r>
    <phoneticPr fontId="3"/>
  </si>
  <si>
    <r>
      <rPr>
        <sz val="6"/>
        <color theme="1"/>
        <rFont val="游ゴシック"/>
        <family val="3"/>
        <charset val="128"/>
        <scheme val="minor"/>
      </rPr>
      <t>波付硬質ﾎﾟﾘｴﾁﾚﾝ管</t>
    </r>
    <r>
      <rPr>
        <sz val="8"/>
        <color theme="1"/>
        <rFont val="游ゴシック"/>
        <family val="3"/>
        <charset val="128"/>
        <scheme val="minor"/>
      </rPr>
      <t xml:space="preserve">
FEP50</t>
    </r>
    <phoneticPr fontId="3"/>
  </si>
  <si>
    <r>
      <rPr>
        <sz val="6"/>
        <color theme="1"/>
        <rFont val="游ゴシック"/>
        <family val="3"/>
        <charset val="128"/>
        <scheme val="minor"/>
      </rPr>
      <t>波付硬質ﾎﾟﾘｴﾁﾚﾝ管</t>
    </r>
    <r>
      <rPr>
        <sz val="8"/>
        <color theme="1"/>
        <rFont val="游ゴシック"/>
        <family val="3"/>
        <charset val="128"/>
        <scheme val="minor"/>
      </rPr>
      <t xml:space="preserve">
FEP65</t>
    </r>
    <phoneticPr fontId="3"/>
  </si>
  <si>
    <t>2023.7　p648</t>
    <phoneticPr fontId="3"/>
  </si>
  <si>
    <t>2023.7　p650</t>
    <phoneticPr fontId="3"/>
  </si>
  <si>
    <t>2023.7　p540</t>
    <phoneticPr fontId="3"/>
  </si>
  <si>
    <r>
      <rPr>
        <sz val="6"/>
        <color theme="1"/>
        <rFont val="游ゴシック"/>
        <family val="3"/>
        <charset val="128"/>
        <scheme val="minor"/>
      </rPr>
      <t>600Vﾋﾞﾆﾙ絶縁ｼｰｽｹｰﾌﾞﾙ(VV)　JIS-C-3342</t>
    </r>
    <r>
      <rPr>
        <sz val="8"/>
        <color theme="1"/>
        <rFont val="游ゴシック"/>
        <family val="3"/>
        <charset val="128"/>
        <scheme val="minor"/>
      </rPr>
      <t xml:space="preserve">
VVR（SV）5.5-2C</t>
    </r>
    <phoneticPr fontId="3"/>
  </si>
  <si>
    <r>
      <rPr>
        <sz val="6"/>
        <color theme="1"/>
        <rFont val="游ゴシック"/>
        <family val="3"/>
        <charset val="128"/>
        <scheme val="minor"/>
      </rPr>
      <t>600Vﾋﾞﾆﾙ絶縁ｼｰｽｹｰﾌﾞﾙ(VV)　JIS-C-3342</t>
    </r>
    <r>
      <rPr>
        <sz val="8"/>
        <color theme="1"/>
        <rFont val="游ゴシック"/>
        <family val="3"/>
        <charset val="128"/>
        <scheme val="minor"/>
      </rPr>
      <t xml:space="preserve">
VVR（SV）5.5-3C</t>
    </r>
    <phoneticPr fontId="3"/>
  </si>
  <si>
    <r>
      <rPr>
        <sz val="6"/>
        <color theme="1"/>
        <rFont val="游ゴシック"/>
        <family val="3"/>
        <charset val="128"/>
        <scheme val="minor"/>
      </rPr>
      <t>600Vﾋﾞﾆﾙ絶縁ｼｰｽｹｰﾌﾞﾙ(VV)　JIS-C-3342</t>
    </r>
    <r>
      <rPr>
        <sz val="8"/>
        <color theme="1"/>
        <rFont val="游ゴシック"/>
        <family val="3"/>
        <charset val="128"/>
        <scheme val="minor"/>
      </rPr>
      <t xml:space="preserve">
VVR（SV）8.0-2C</t>
    </r>
    <phoneticPr fontId="3"/>
  </si>
  <si>
    <r>
      <rPr>
        <sz val="6"/>
        <color theme="1"/>
        <rFont val="游ゴシック"/>
        <family val="3"/>
        <charset val="128"/>
        <scheme val="minor"/>
      </rPr>
      <t>600Vﾋﾞﾆﾙ絶縁ｼｰｽｹｰﾌﾞﾙ(VV)　JIS-C-3342</t>
    </r>
    <r>
      <rPr>
        <sz val="8"/>
        <color theme="1"/>
        <rFont val="游ゴシック"/>
        <family val="3"/>
        <charset val="128"/>
        <scheme val="minor"/>
      </rPr>
      <t xml:space="preserve">
VVR（SV）8.0-3C</t>
    </r>
    <phoneticPr fontId="3"/>
  </si>
  <si>
    <r>
      <rPr>
        <sz val="6"/>
        <color theme="1"/>
        <rFont val="游ゴシック"/>
        <family val="3"/>
        <charset val="128"/>
        <scheme val="minor"/>
      </rPr>
      <t>600Vﾋﾞﾆﾙ絶縁ｼｰｽｹｰﾌﾞﾙ(VV)　JIS-C-3342</t>
    </r>
    <r>
      <rPr>
        <sz val="8"/>
        <color theme="1"/>
        <rFont val="游ゴシック"/>
        <family val="3"/>
        <charset val="128"/>
        <scheme val="minor"/>
      </rPr>
      <t xml:space="preserve">
VVR（SV）38.0-2C</t>
    </r>
    <phoneticPr fontId="3"/>
  </si>
  <si>
    <r>
      <rPr>
        <sz val="6"/>
        <color theme="1"/>
        <rFont val="游ゴシック"/>
        <family val="3"/>
        <charset val="128"/>
        <scheme val="minor"/>
      </rPr>
      <t>600Vﾋﾞﾆﾙ絶縁ｼｰｽｹｰﾌﾞﾙ(VV)　JIS-C-3342</t>
    </r>
    <r>
      <rPr>
        <sz val="8"/>
        <color theme="1"/>
        <rFont val="游ゴシック"/>
        <family val="3"/>
        <charset val="128"/>
        <scheme val="minor"/>
      </rPr>
      <t xml:space="preserve">
VVR（SV）38.0-3C</t>
    </r>
    <phoneticPr fontId="3"/>
  </si>
  <si>
    <t>2023.7　p652</t>
    <phoneticPr fontId="3"/>
  </si>
  <si>
    <t>2023.7　p541</t>
    <phoneticPr fontId="3"/>
  </si>
  <si>
    <r>
      <rPr>
        <sz val="6"/>
        <color theme="1"/>
        <rFont val="游ゴシック"/>
        <family val="3"/>
        <charset val="128"/>
        <scheme val="minor"/>
      </rPr>
      <t xml:space="preserve">600V架橋ﾎﾟﾘｴﾁﾚﾝ絶縁ﾋﾞﾆﾙｼｰｽｹｰﾌﾞﾙ(CV)
　JIS-C-3605
</t>
    </r>
    <r>
      <rPr>
        <sz val="8"/>
        <color theme="1"/>
        <rFont val="游ゴシック"/>
        <family val="3"/>
        <charset val="128"/>
        <scheme val="minor"/>
      </rPr>
      <t>CV3.5-2C</t>
    </r>
    <rPh sb="4" eb="6">
      <t>カキョウ</t>
    </rPh>
    <rPh sb="13" eb="15">
      <t>ゼツエン</t>
    </rPh>
    <phoneticPr fontId="3"/>
  </si>
  <si>
    <r>
      <rPr>
        <sz val="6"/>
        <color theme="1"/>
        <rFont val="游ゴシック"/>
        <family val="3"/>
        <charset val="128"/>
        <scheme val="minor"/>
      </rPr>
      <t xml:space="preserve">600V架橋ﾎﾟﾘｴﾁﾚﾝ絶縁ﾋﾞﾆﾙｼｰｽｹｰﾌﾞﾙ(CV)
　JIS-C-3605
</t>
    </r>
    <r>
      <rPr>
        <sz val="8"/>
        <color theme="1"/>
        <rFont val="游ゴシック"/>
        <family val="3"/>
        <charset val="128"/>
        <scheme val="minor"/>
      </rPr>
      <t>CV3.5-3C</t>
    </r>
    <rPh sb="4" eb="6">
      <t>カキョウ</t>
    </rPh>
    <rPh sb="13" eb="15">
      <t>ゼツエン</t>
    </rPh>
    <phoneticPr fontId="3"/>
  </si>
  <si>
    <r>
      <rPr>
        <sz val="6"/>
        <color theme="1"/>
        <rFont val="游ゴシック"/>
        <family val="3"/>
        <charset val="128"/>
        <scheme val="minor"/>
      </rPr>
      <t xml:space="preserve">600V架橋ﾎﾟﾘｴﾁﾚﾝ絶縁ﾋﾞﾆﾙｼｰｽｹｰﾌﾞﾙ(CV)
　JIS-C-3605
</t>
    </r>
    <r>
      <rPr>
        <sz val="8"/>
        <color theme="1"/>
        <rFont val="游ゴシック"/>
        <family val="3"/>
        <charset val="128"/>
        <scheme val="minor"/>
      </rPr>
      <t>CV5.5-2C</t>
    </r>
    <rPh sb="4" eb="6">
      <t>カキョウ</t>
    </rPh>
    <rPh sb="13" eb="15">
      <t>ゼツエン</t>
    </rPh>
    <phoneticPr fontId="3"/>
  </si>
  <si>
    <r>
      <rPr>
        <sz val="6"/>
        <color theme="1"/>
        <rFont val="游ゴシック"/>
        <family val="3"/>
        <charset val="128"/>
        <scheme val="minor"/>
      </rPr>
      <t xml:space="preserve">600V架橋ﾎﾟﾘｴﾁﾚﾝ絶縁ﾋﾞﾆﾙｼｰｽｹｰﾌﾞﾙ(CV)
　JIS-C-3605
</t>
    </r>
    <r>
      <rPr>
        <sz val="8"/>
        <color theme="1"/>
        <rFont val="游ゴシック"/>
        <family val="3"/>
        <charset val="128"/>
        <scheme val="minor"/>
      </rPr>
      <t>CV5.5-3C</t>
    </r>
    <rPh sb="4" eb="6">
      <t>カキョウ</t>
    </rPh>
    <rPh sb="13" eb="15">
      <t>ゼツエン</t>
    </rPh>
    <phoneticPr fontId="3"/>
  </si>
  <si>
    <t>2023.7　p799</t>
    <phoneticPr fontId="3"/>
  </si>
  <si>
    <t>H10.0m　末口14㎝</t>
    <rPh sb="7" eb="8">
      <t>スエ</t>
    </rPh>
    <rPh sb="8" eb="9">
      <t>クチ</t>
    </rPh>
    <phoneticPr fontId="3"/>
  </si>
  <si>
    <t>670kg/本</t>
    <rPh sb="6" eb="7">
      <t>ホン</t>
    </rPh>
    <phoneticPr fontId="3"/>
  </si>
  <si>
    <t>176.3kg/面</t>
    <rPh sb="8" eb="9">
      <t>メン</t>
    </rPh>
    <phoneticPr fontId="3"/>
  </si>
  <si>
    <t>基盤基礎</t>
    <phoneticPr fontId="3"/>
  </si>
  <si>
    <t>電線管</t>
    <phoneticPr fontId="3"/>
  </si>
  <si>
    <t>2*2+1.2*2</t>
    <phoneticPr fontId="3"/>
  </si>
  <si>
    <t>3.2*0.75</t>
    <phoneticPr fontId="3"/>
  </si>
  <si>
    <t>再生粗粒ｱｽｺﾝ　t=5㎝</t>
    <rPh sb="0" eb="2">
      <t>サイセイ</t>
    </rPh>
    <rPh sb="2" eb="4">
      <t>ソリュウ</t>
    </rPh>
    <phoneticPr fontId="3"/>
  </si>
  <si>
    <t>VCT2.0-4C
ポンプ用</t>
    <rPh sb="13" eb="14">
      <t>ヨウ</t>
    </rPh>
    <phoneticPr fontId="3"/>
  </si>
  <si>
    <t>CVV2.0-1C
浸水検知用</t>
    <rPh sb="10" eb="12">
      <t>シンスイ</t>
    </rPh>
    <rPh sb="12" eb="14">
      <t>ケンチ</t>
    </rPh>
    <rPh sb="14" eb="15">
      <t>ヨウ</t>
    </rPh>
    <phoneticPr fontId="3"/>
  </si>
  <si>
    <t>CVV0.75-3C
フロート式レベルスイッチ</t>
    <rPh sb="15" eb="16">
      <t>シキ</t>
    </rPh>
    <phoneticPr fontId="3"/>
  </si>
  <si>
    <t>φ8.1mm(2.0-2C相当）
水位計用</t>
    <rPh sb="13" eb="15">
      <t>ソウトウ</t>
    </rPh>
    <rPh sb="17" eb="20">
      <t>スイイケイ</t>
    </rPh>
    <rPh sb="20" eb="21">
      <t>ヨウ</t>
    </rPh>
    <phoneticPr fontId="3"/>
  </si>
  <si>
    <t>ポンプ付属ケーブルのため、材料計上なし</t>
    <phoneticPr fontId="3"/>
  </si>
  <si>
    <t>過熱検知付属ケーブルのため、材料計上なし</t>
    <phoneticPr fontId="3"/>
  </si>
  <si>
    <t>浸水検知付属ケーブルのため、材料計上なし</t>
    <phoneticPr fontId="3"/>
  </si>
  <si>
    <t>機器購入付属ケーブルのため、材料計上なし</t>
  </si>
  <si>
    <t>機器購入付属ケーブルのため、材料計上なし</t>
    <phoneticPr fontId="3"/>
  </si>
  <si>
    <t>投込圧力式
ケーブル延長20ｍ</t>
    <rPh sb="0" eb="1">
      <t>ナ</t>
    </rPh>
    <rPh sb="1" eb="2">
      <t>コ</t>
    </rPh>
    <rPh sb="2" eb="4">
      <t>アツリョク</t>
    </rPh>
    <rPh sb="4" eb="5">
      <t>シキ</t>
    </rPh>
    <rPh sb="10" eb="12">
      <t>エンチョウ</t>
    </rPh>
    <phoneticPr fontId="3"/>
  </si>
  <si>
    <t>ﾌﾛｰﾄ式ﾚﾍﾞﾙｽｲｯﾁ
ケーブル延長20ｍ</t>
    <rPh sb="4" eb="5">
      <t>シキ</t>
    </rPh>
    <phoneticPr fontId="3"/>
  </si>
  <si>
    <t>R5土地改良工事積算基準(機械施設)p201</t>
    <rPh sb="2" eb="4">
      <t>トチ</t>
    </rPh>
    <rPh sb="4" eb="6">
      <t>カイリョウ</t>
    </rPh>
    <rPh sb="6" eb="8">
      <t>コウジ</t>
    </rPh>
    <rPh sb="8" eb="10">
      <t>セキサン</t>
    </rPh>
    <rPh sb="10" eb="12">
      <t>キジュン</t>
    </rPh>
    <rPh sb="13" eb="15">
      <t>キカイ</t>
    </rPh>
    <rPh sb="15" eb="17">
      <t>シセツ</t>
    </rPh>
    <phoneticPr fontId="3"/>
  </si>
  <si>
    <t>R5土地改良工事積算基準(機械施設)p175</t>
    <rPh sb="2" eb="4">
      <t>トチ</t>
    </rPh>
    <rPh sb="4" eb="6">
      <t>カイリョウ</t>
    </rPh>
    <rPh sb="6" eb="8">
      <t>コウジ</t>
    </rPh>
    <rPh sb="8" eb="10">
      <t>セキサン</t>
    </rPh>
    <rPh sb="10" eb="12">
      <t>キジュン</t>
    </rPh>
    <rPh sb="13" eb="15">
      <t>キカイ</t>
    </rPh>
    <rPh sb="15" eb="17">
      <t>シセツ</t>
    </rPh>
    <phoneticPr fontId="3"/>
  </si>
  <si>
    <t>R5土地改良工事積算基準(機械施設)p177</t>
    <rPh sb="2" eb="4">
      <t>トチ</t>
    </rPh>
    <rPh sb="4" eb="6">
      <t>カイリョウ</t>
    </rPh>
    <rPh sb="6" eb="8">
      <t>コウジ</t>
    </rPh>
    <rPh sb="8" eb="10">
      <t>セキサン</t>
    </rPh>
    <rPh sb="10" eb="12">
      <t>キジュン</t>
    </rPh>
    <rPh sb="13" eb="15">
      <t>キカイ</t>
    </rPh>
    <rPh sb="15" eb="17">
      <t>シセツ</t>
    </rPh>
    <phoneticPr fontId="3"/>
  </si>
  <si>
    <t>R5土地改良工事積算基準(機械施設)p178</t>
    <rPh sb="2" eb="4">
      <t>トチ</t>
    </rPh>
    <rPh sb="4" eb="6">
      <t>カイリョウ</t>
    </rPh>
    <rPh sb="6" eb="8">
      <t>コウジ</t>
    </rPh>
    <rPh sb="8" eb="10">
      <t>セキサン</t>
    </rPh>
    <rPh sb="10" eb="12">
      <t>キジュン</t>
    </rPh>
    <rPh sb="13" eb="15">
      <t>キカイ</t>
    </rPh>
    <rPh sb="15" eb="17">
      <t>シセツ</t>
    </rPh>
    <phoneticPr fontId="3"/>
  </si>
  <si>
    <t>15.5kg/個</t>
    <rPh sb="7" eb="8">
      <t>コ</t>
    </rPh>
    <phoneticPr fontId="3"/>
  </si>
  <si>
    <t>23.5kg/本</t>
    <rPh sb="7" eb="8">
      <t>ホン</t>
    </rPh>
    <phoneticPr fontId="3"/>
  </si>
  <si>
    <t>吐出管（２F集合管）</t>
    <rPh sb="0" eb="2">
      <t>トシュツ</t>
    </rPh>
    <rPh sb="2" eb="3">
      <t>カン</t>
    </rPh>
    <rPh sb="6" eb="9">
      <t>シュウゴウカン</t>
    </rPh>
    <phoneticPr fontId="3"/>
  </si>
  <si>
    <t>80A×65A×W790
SUS</t>
    <phoneticPr fontId="3"/>
  </si>
  <si>
    <t>ポリEF継ぎ手</t>
    <phoneticPr fontId="3"/>
  </si>
  <si>
    <t>75A</t>
    <phoneticPr fontId="3"/>
  </si>
  <si>
    <t>本</t>
    <rPh sb="0" eb="1">
      <t>ホン</t>
    </rPh>
    <phoneticPr fontId="3"/>
  </si>
  <si>
    <t>複合工費(PE管融着工)</t>
    <rPh sb="0" eb="2">
      <t>フクゴウ</t>
    </rPh>
    <rPh sb="2" eb="4">
      <t>コウヒ</t>
    </rPh>
    <rPh sb="7" eb="8">
      <t>カン</t>
    </rPh>
    <rPh sb="8" eb="10">
      <t>ユウチャク</t>
    </rPh>
    <rPh sb="10" eb="11">
      <t>コウ</t>
    </rPh>
    <phoneticPr fontId="3"/>
  </si>
  <si>
    <t>ポリエチレン管
フランジ短管</t>
    <phoneticPr fontId="3"/>
  </si>
  <si>
    <t>ポリエチレン管
EF継手</t>
    <phoneticPr fontId="3"/>
  </si>
  <si>
    <t>φ75mm</t>
    <phoneticPr fontId="3"/>
  </si>
  <si>
    <t>複合工費(機械)
コンクリート工</t>
    <phoneticPr fontId="3"/>
  </si>
  <si>
    <t>インバートコンクリート</t>
    <phoneticPr fontId="3"/>
  </si>
  <si>
    <t>21-12-25BB</t>
    <phoneticPr fontId="3"/>
  </si>
  <si>
    <t>㎥</t>
    <phoneticPr fontId="3"/>
  </si>
  <si>
    <t>((1.20/2)＾2*3.14)*0.292</t>
    <phoneticPr fontId="3"/>
  </si>
  <si>
    <t>1.13×0.05＝0.056</t>
    <phoneticPr fontId="3"/>
  </si>
  <si>
    <t>0.56-0.47</t>
    <phoneticPr fontId="3"/>
  </si>
  <si>
    <t>屋外配管、65㎜</t>
    <rPh sb="0" eb="2">
      <t>オクガイ</t>
    </rPh>
    <rPh sb="2" eb="4">
      <t>ハイカン</t>
    </rPh>
    <phoneticPr fontId="3"/>
  </si>
  <si>
    <t>屋外配管、80㎜</t>
    <rPh sb="0" eb="2">
      <t>オクガイ</t>
    </rPh>
    <rPh sb="2" eb="4">
      <t>ハイカン</t>
    </rPh>
    <phoneticPr fontId="3"/>
  </si>
  <si>
    <t>屋外配管、100㎜</t>
    <rPh sb="0" eb="2">
      <t>オクガイ</t>
    </rPh>
    <rPh sb="2" eb="4">
      <t>ハイカン</t>
    </rPh>
    <phoneticPr fontId="3"/>
  </si>
  <si>
    <t>屋外配管、150㎜</t>
    <rPh sb="0" eb="2">
      <t>オクガイ</t>
    </rPh>
    <rPh sb="2" eb="4">
      <t>ハイカン</t>
    </rPh>
    <phoneticPr fontId="3"/>
  </si>
  <si>
    <t>CVV0.75-3C
ﾚﾍﾞﾙｽｲｯﾁ</t>
    <phoneticPr fontId="3"/>
  </si>
  <si>
    <t>CVV1.25-3C
水位計用</t>
    <rPh sb="11" eb="14">
      <t>スイイケイ</t>
    </rPh>
    <rPh sb="14" eb="15">
      <t>ヨウ</t>
    </rPh>
    <phoneticPr fontId="3"/>
  </si>
  <si>
    <t>コンクリート根かせ</t>
    <rPh sb="6" eb="7">
      <t>ネ</t>
    </rPh>
    <phoneticPr fontId="3"/>
  </si>
  <si>
    <t>1000×170×140</t>
    <phoneticPr fontId="3"/>
  </si>
  <si>
    <t>径67㎜以上80㎜以下</t>
    <rPh sb="0" eb="1">
      <t>ケイ</t>
    </rPh>
    <rPh sb="3" eb="6">
      <t>ミリメートルイジョウ</t>
    </rPh>
    <rPh sb="9" eb="11">
      <t>イカ</t>
    </rPh>
    <phoneticPr fontId="3"/>
  </si>
  <si>
    <t>上層路盤
（全仕上り厚150㎜）</t>
    <rPh sb="0" eb="2">
      <t>ジョウソウ</t>
    </rPh>
    <rPh sb="2" eb="4">
      <t>ロバン</t>
    </rPh>
    <rPh sb="6" eb="7">
      <t>ゼン</t>
    </rPh>
    <rPh sb="7" eb="9">
      <t>シアガ</t>
    </rPh>
    <rPh sb="10" eb="11">
      <t>アツ</t>
    </rPh>
    <phoneticPr fontId="3"/>
  </si>
  <si>
    <t>1.4m未満(1層当り平均仕上り厚50㎜以下) 小型割増無、再生密粒度ｱｽｺﾝ ﾌﾟﾗｲﾑｺｰﾄPK-3</t>
    <rPh sb="30" eb="32">
      <t>サイセイ</t>
    </rPh>
    <rPh sb="32" eb="35">
      <t>ミツリュウド</t>
    </rPh>
    <phoneticPr fontId="3"/>
  </si>
  <si>
    <t>配線用遮断器</t>
    <phoneticPr fontId="3"/>
  </si>
  <si>
    <t>配線用遮断器</t>
    <phoneticPr fontId="3"/>
  </si>
  <si>
    <t>個</t>
    <rPh sb="0" eb="1">
      <t>コ</t>
    </rPh>
    <phoneticPr fontId="3"/>
  </si>
  <si>
    <t>2P　30AF　10AT</t>
    <phoneticPr fontId="3"/>
  </si>
  <si>
    <t>3P　100AF　60AT</t>
    <phoneticPr fontId="3"/>
  </si>
  <si>
    <t>〇 機械設備類の撤去工事歩掛は、再使用する場合 標準歩掛の60%、再使用しない場合 標準歩掛の40%。（指針p118）</t>
    <rPh sb="2" eb="4">
      <t>キカイ</t>
    </rPh>
    <rPh sb="4" eb="6">
      <t>セツビ</t>
    </rPh>
    <rPh sb="6" eb="7">
      <t>ルイ</t>
    </rPh>
    <rPh sb="8" eb="10">
      <t>テッキョ</t>
    </rPh>
    <rPh sb="10" eb="12">
      <t>コウジ</t>
    </rPh>
    <rPh sb="12" eb="14">
      <t>ブガカリ</t>
    </rPh>
    <rPh sb="16" eb="17">
      <t>サイ</t>
    </rPh>
    <rPh sb="17" eb="19">
      <t>シヨウ</t>
    </rPh>
    <rPh sb="21" eb="23">
      <t>バアイ</t>
    </rPh>
    <rPh sb="24" eb="26">
      <t>ヒョウジュン</t>
    </rPh>
    <rPh sb="26" eb="28">
      <t>ブガカリ</t>
    </rPh>
    <rPh sb="33" eb="34">
      <t>サイ</t>
    </rPh>
    <rPh sb="34" eb="36">
      <t>シヨウ</t>
    </rPh>
    <rPh sb="39" eb="41">
      <t>バアイ</t>
    </rPh>
    <rPh sb="42" eb="44">
      <t>ヒョウジュン</t>
    </rPh>
    <rPh sb="44" eb="46">
      <t>ブガカリ</t>
    </rPh>
    <rPh sb="52" eb="54">
      <t>シシン</t>
    </rPh>
    <phoneticPr fontId="3"/>
  </si>
  <si>
    <t>〇 これらについて、R4農業集落排水施設標準積算指針p121参照。</t>
    <rPh sb="12" eb="14">
      <t>ノウギョウ</t>
    </rPh>
    <rPh sb="14" eb="16">
      <t>シュウラク</t>
    </rPh>
    <rPh sb="16" eb="18">
      <t>ハイスイ</t>
    </rPh>
    <rPh sb="18" eb="20">
      <t>シセツ</t>
    </rPh>
    <rPh sb="20" eb="22">
      <t>ヒョウジュン</t>
    </rPh>
    <rPh sb="22" eb="24">
      <t>セキサン</t>
    </rPh>
    <rPh sb="24" eb="26">
      <t>シシン</t>
    </rPh>
    <rPh sb="30" eb="32">
      <t>サンショウ</t>
    </rPh>
    <phoneticPr fontId="3"/>
  </si>
  <si>
    <t>施 行 費 内 訳 書　（ 事業費内訳書 ）</t>
    <rPh sb="0" eb="1">
      <t>シ</t>
    </rPh>
    <rPh sb="2" eb="3">
      <t>ギョウ</t>
    </rPh>
    <rPh sb="4" eb="5">
      <t>ヒ</t>
    </rPh>
    <rPh sb="6" eb="7">
      <t>ウチ</t>
    </rPh>
    <rPh sb="8" eb="9">
      <t>ワケ</t>
    </rPh>
    <rPh sb="10" eb="11">
      <t>ショ</t>
    </rPh>
    <rPh sb="14" eb="17">
      <t>ジギョウヒ</t>
    </rPh>
    <rPh sb="17" eb="20">
      <t>ウチワケショ</t>
    </rPh>
    <phoneticPr fontId="3"/>
  </si>
  <si>
    <t>(割合)</t>
    <rPh sb="1" eb="3">
      <t>ワリアイ</t>
    </rPh>
    <phoneticPr fontId="3"/>
  </si>
  <si>
    <t>工事価格按分</t>
    <rPh sb="0" eb="2">
      <t>コウジ</t>
    </rPh>
    <rPh sb="2" eb="4">
      <t>カカク</t>
    </rPh>
    <rPh sb="4" eb="6">
      <t>アンブン</t>
    </rPh>
    <phoneticPr fontId="3"/>
  </si>
  <si>
    <t>（工事価格）</t>
    <rPh sb="1" eb="3">
      <t>コウジ</t>
    </rPh>
    <rPh sb="3" eb="5">
      <t>カカク</t>
    </rPh>
    <phoneticPr fontId="3"/>
  </si>
  <si>
    <t>補助対象費</t>
    <rPh sb="0" eb="2">
      <t>ホジョ</t>
    </rPh>
    <rPh sb="2" eb="4">
      <t>タイショウ</t>
    </rPh>
    <rPh sb="4" eb="5">
      <t>ヒ</t>
    </rPh>
    <phoneticPr fontId="3"/>
  </si>
  <si>
    <t>単独対象費</t>
    <rPh sb="0" eb="2">
      <t>タンドク</t>
    </rPh>
    <rPh sb="2" eb="4">
      <t>タイショウ</t>
    </rPh>
    <rPh sb="4" eb="5">
      <t>ヒ</t>
    </rPh>
    <phoneticPr fontId="3"/>
  </si>
  <si>
    <t>請負工事費</t>
    <rPh sb="0" eb="2">
      <t>ウケオイ</t>
    </rPh>
    <rPh sb="2" eb="4">
      <t>コウジ</t>
    </rPh>
    <rPh sb="4" eb="5">
      <t>ヒ</t>
    </rPh>
    <phoneticPr fontId="3"/>
  </si>
  <si>
    <t>（調整額）</t>
    <rPh sb="1" eb="3">
      <t>チョウセイ</t>
    </rPh>
    <rPh sb="3" eb="4">
      <t>ガク</t>
    </rPh>
    <phoneticPr fontId="3"/>
  </si>
  <si>
    <t>最終支払い額</t>
    <rPh sb="0" eb="2">
      <t>サイシュウ</t>
    </rPh>
    <rPh sb="2" eb="4">
      <t>シハラ</t>
    </rPh>
    <rPh sb="5" eb="6">
      <t>ガク</t>
    </rPh>
    <phoneticPr fontId="3"/>
  </si>
  <si>
    <t>補助対象費</t>
    <phoneticPr fontId="3"/>
  </si>
  <si>
    <t>本　工　事　費　内　訳　書</t>
    <rPh sb="0" eb="1">
      <t>ホン</t>
    </rPh>
    <rPh sb="2" eb="3">
      <t>コウ</t>
    </rPh>
    <rPh sb="4" eb="5">
      <t>コト</t>
    </rPh>
    <rPh sb="6" eb="7">
      <t>ヒ</t>
    </rPh>
    <rPh sb="8" eb="9">
      <t>ウチ</t>
    </rPh>
    <rPh sb="10" eb="11">
      <t>ワケ</t>
    </rPh>
    <rPh sb="12" eb="13">
      <t>ショ</t>
    </rPh>
    <phoneticPr fontId="3"/>
  </si>
  <si>
    <t>費　　目</t>
    <rPh sb="0" eb="1">
      <t>ヒ</t>
    </rPh>
    <rPh sb="3" eb="4">
      <t>メ</t>
    </rPh>
    <phoneticPr fontId="3"/>
  </si>
  <si>
    <t>種　　別</t>
    <rPh sb="0" eb="1">
      <t>シュ</t>
    </rPh>
    <rPh sb="3" eb="4">
      <t>ベツ</t>
    </rPh>
    <phoneticPr fontId="3"/>
  </si>
  <si>
    <t>細　　別</t>
    <rPh sb="0" eb="1">
      <t>ホソ</t>
    </rPh>
    <rPh sb="3" eb="4">
      <t>ベツ</t>
    </rPh>
    <phoneticPr fontId="3"/>
  </si>
  <si>
    <t>単　　価</t>
    <rPh sb="0" eb="1">
      <t>タン</t>
    </rPh>
    <rPh sb="3" eb="4">
      <t>アタイ</t>
    </rPh>
    <phoneticPr fontId="3"/>
  </si>
  <si>
    <t>金　　額</t>
    <rPh sb="0" eb="1">
      <t>キン</t>
    </rPh>
    <rPh sb="3" eb="4">
      <t>ガク</t>
    </rPh>
    <phoneticPr fontId="3"/>
  </si>
  <si>
    <t>増額分</t>
    <rPh sb="0" eb="2">
      <t>ゾウガク</t>
    </rPh>
    <rPh sb="2" eb="3">
      <t>ブン</t>
    </rPh>
    <phoneticPr fontId="3"/>
  </si>
  <si>
    <t>調整</t>
    <rPh sb="0" eb="2">
      <t>チョウセイ</t>
    </rPh>
    <phoneticPr fontId="3"/>
  </si>
  <si>
    <t>必要額</t>
    <rPh sb="0" eb="2">
      <t>ヒツヨウ</t>
    </rPh>
    <rPh sb="2" eb="3">
      <t>ガク</t>
    </rPh>
    <phoneticPr fontId="3"/>
  </si>
  <si>
    <t>本工事費</t>
    <rPh sb="0" eb="1">
      <t>ガッポン</t>
    </rPh>
    <rPh sb="1" eb="4">
      <t>コウジヒ</t>
    </rPh>
    <phoneticPr fontId="3"/>
  </si>
  <si>
    <t>内訳書</t>
    <rPh sb="0" eb="2">
      <t>ウチワケ</t>
    </rPh>
    <rPh sb="2" eb="3">
      <t>ショ</t>
    </rPh>
    <phoneticPr fontId="3"/>
  </si>
  <si>
    <t>工事価格(合計)</t>
    <rPh sb="0" eb="2">
      <t>コウジ</t>
    </rPh>
    <rPh sb="2" eb="4">
      <t>カカク</t>
    </rPh>
    <rPh sb="5" eb="7">
      <t>ゴウケイ</t>
    </rPh>
    <phoneticPr fontId="3"/>
  </si>
  <si>
    <t>％</t>
    <phoneticPr fontId="3"/>
  </si>
  <si>
    <t>上野新田MHP</t>
    <rPh sb="0" eb="2">
      <t>ウエノ</t>
    </rPh>
    <rPh sb="2" eb="4">
      <t>シンデン</t>
    </rPh>
    <phoneticPr fontId="3"/>
  </si>
  <si>
    <t>羽黒西部第２
中継ポンプ場</t>
    <rPh sb="0" eb="2">
      <t>ハグロ</t>
    </rPh>
    <rPh sb="2" eb="4">
      <t>セイブ</t>
    </rPh>
    <rPh sb="4" eb="5">
      <t>ダイ</t>
    </rPh>
    <rPh sb="7" eb="9">
      <t>チュウケイ</t>
    </rPh>
    <rPh sb="12" eb="13">
      <t>バ</t>
    </rPh>
    <phoneticPr fontId="3"/>
  </si>
  <si>
    <t>羽黒西部第３
中継ポンプ場</t>
    <rPh sb="0" eb="2">
      <t>ハグロ</t>
    </rPh>
    <rPh sb="2" eb="4">
      <t>セイブ</t>
    </rPh>
    <rPh sb="4" eb="5">
      <t>ダイ</t>
    </rPh>
    <rPh sb="7" eb="9">
      <t>チュウケイ</t>
    </rPh>
    <rPh sb="12" eb="13">
      <t>バ</t>
    </rPh>
    <phoneticPr fontId="3"/>
  </si>
  <si>
    <t>羽黒西部第４
中継ポンプ場</t>
    <rPh sb="0" eb="2">
      <t>ハグロ</t>
    </rPh>
    <rPh sb="2" eb="4">
      <t>セイブ</t>
    </rPh>
    <rPh sb="4" eb="5">
      <t>ダイ</t>
    </rPh>
    <rPh sb="7" eb="9">
      <t>チュウケイ</t>
    </rPh>
    <rPh sb="12" eb="13">
      <t>バ</t>
    </rPh>
    <phoneticPr fontId="3"/>
  </si>
  <si>
    <t>増減額　補単調整</t>
    <rPh sb="0" eb="3">
      <t>ゾウゲンガク</t>
    </rPh>
    <rPh sb="4" eb="5">
      <t>ホ</t>
    </rPh>
    <rPh sb="5" eb="6">
      <t>タン</t>
    </rPh>
    <rPh sb="6" eb="8">
      <t>チョウセイ</t>
    </rPh>
    <phoneticPr fontId="3"/>
  </si>
  <si>
    <t>単独対象費</t>
    <phoneticPr fontId="3"/>
  </si>
  <si>
    <t>R5土地改良工事積算基準(施設機械)_p47</t>
    <rPh sb="2" eb="4">
      <t>トチ</t>
    </rPh>
    <rPh sb="4" eb="6">
      <t>カイリョウ</t>
    </rPh>
    <rPh sb="6" eb="8">
      <t>コウジ</t>
    </rPh>
    <rPh sb="8" eb="10">
      <t>セキサン</t>
    </rPh>
    <rPh sb="10" eb="12">
      <t>キジュン</t>
    </rPh>
    <rPh sb="13" eb="15">
      <t>シセツ</t>
    </rPh>
    <rPh sb="15" eb="17">
      <t>キカイ</t>
    </rPh>
    <phoneticPr fontId="3"/>
  </si>
  <si>
    <t>R5土地改良工事積算基準(土木工事)_p16</t>
    <rPh sb="2" eb="4">
      <t>トチ</t>
    </rPh>
    <rPh sb="4" eb="6">
      <t>カイリョウ</t>
    </rPh>
    <rPh sb="6" eb="8">
      <t>コウジ</t>
    </rPh>
    <rPh sb="8" eb="10">
      <t>セキサン</t>
    </rPh>
    <rPh sb="10" eb="12">
      <t>キジュン</t>
    </rPh>
    <rPh sb="13" eb="15">
      <t>ドボク</t>
    </rPh>
    <rPh sb="15" eb="17">
      <t>コウジ</t>
    </rPh>
    <phoneticPr fontId="3"/>
  </si>
  <si>
    <t>基礎砕石工</t>
    <rPh sb="0" eb="2">
      <t>キソ</t>
    </rPh>
    <rPh sb="2" eb="4">
      <t>サイセキ</t>
    </rPh>
    <rPh sb="4" eb="5">
      <t>コウ</t>
    </rPh>
    <phoneticPr fontId="3"/>
  </si>
  <si>
    <t>型枠工</t>
    <rPh sb="0" eb="2">
      <t>カタワク</t>
    </rPh>
    <rPh sb="2" eb="3">
      <t>コウ</t>
    </rPh>
    <phoneticPr fontId="3"/>
  </si>
  <si>
    <t>コンクリート打設</t>
    <rPh sb="6" eb="8">
      <t>ダセツ</t>
    </rPh>
    <phoneticPr fontId="3"/>
  </si>
  <si>
    <t>RC-40</t>
    <phoneticPr fontId="3"/>
  </si>
  <si>
    <t>無菌構造物</t>
    <rPh sb="0" eb="2">
      <t>ムキン</t>
    </rPh>
    <rPh sb="2" eb="5">
      <t>コウゾウブツ</t>
    </rPh>
    <phoneticPr fontId="3"/>
  </si>
  <si>
    <t>㎡</t>
    <phoneticPr fontId="3"/>
  </si>
  <si>
    <t>1.2*2.0＝2.4</t>
    <phoneticPr fontId="3"/>
  </si>
  <si>
    <t>(1.0*0.6+1.8*0.6)*2＝3.36</t>
    <phoneticPr fontId="3"/>
  </si>
  <si>
    <t>1.0*1.8*0.6＝1.08</t>
    <phoneticPr fontId="3"/>
  </si>
  <si>
    <t>複合工費　2-1（機械）</t>
    <rPh sb="0" eb="2">
      <t>フクゴウ</t>
    </rPh>
    <rPh sb="2" eb="4">
      <t>コウヒ</t>
    </rPh>
    <rPh sb="9" eb="11">
      <t>キカイ</t>
    </rPh>
    <phoneticPr fontId="3"/>
  </si>
  <si>
    <t>複合工費　2-2（機械）</t>
    <rPh sb="0" eb="2">
      <t>フクゴウ</t>
    </rPh>
    <rPh sb="2" eb="4">
      <t>コウヒ</t>
    </rPh>
    <rPh sb="9" eb="11">
      <t>キカイ</t>
    </rPh>
    <phoneticPr fontId="3"/>
  </si>
  <si>
    <t>第11号単価表</t>
    <rPh sb="0" eb="1">
      <t>ダイ</t>
    </rPh>
    <rPh sb="3" eb="4">
      <t>ゴウ</t>
    </rPh>
    <rPh sb="4" eb="6">
      <t>タンカ</t>
    </rPh>
    <rPh sb="6" eb="7">
      <t>ヒョウ</t>
    </rPh>
    <phoneticPr fontId="3"/>
  </si>
  <si>
    <t>R5下水道事業に使用する単価の決定より</t>
    <phoneticPr fontId="3"/>
  </si>
  <si>
    <t>物価/資料</t>
    <phoneticPr fontId="3"/>
  </si>
  <si>
    <t>鶴岡市集落排水事業</t>
    <rPh sb="2" eb="3">
      <t>シ</t>
    </rPh>
    <phoneticPr fontId="3"/>
  </si>
  <si>
    <t>3号　塩ビ管200㎜用</t>
    <rPh sb="1" eb="2">
      <t>ゴウ</t>
    </rPh>
    <rPh sb="3" eb="4">
      <t>エン</t>
    </rPh>
    <rPh sb="5" eb="6">
      <t>カン</t>
    </rPh>
    <rPh sb="10" eb="11">
      <t>ヨウ</t>
    </rPh>
    <phoneticPr fontId="3"/>
  </si>
  <si>
    <t>第6-1号</t>
    <rPh sb="0" eb="1">
      <t>ダイ</t>
    </rPh>
    <rPh sb="4" eb="5">
      <t>ゴウ</t>
    </rPh>
    <phoneticPr fontId="3"/>
  </si>
  <si>
    <t>(0.78+0.75)/2×0.17×1＝0.13</t>
    <phoneticPr fontId="3"/>
  </si>
  <si>
    <t>(0.90+0.78)/2×0.37×1＝0.31</t>
    <phoneticPr fontId="3"/>
  </si>
  <si>
    <t>(0.77+0.75)/2×0.10×1＝0.15</t>
    <phoneticPr fontId="3"/>
  </si>
  <si>
    <t>0.95*1.0=0.95</t>
    <phoneticPr fontId="3"/>
  </si>
  <si>
    <t>0.92*1.0=0.92</t>
    <phoneticPr fontId="3"/>
  </si>
  <si>
    <t>0.96*1.0＝0.96</t>
    <phoneticPr fontId="3"/>
  </si>
  <si>
    <t>1.0*0.75＝0.75</t>
    <phoneticPr fontId="3"/>
  </si>
  <si>
    <t>1.0*2＝2.0</t>
    <phoneticPr fontId="3"/>
  </si>
  <si>
    <t>VCT2.00-4C</t>
    <phoneticPr fontId="18"/>
  </si>
  <si>
    <t>第3号単価表</t>
    <rPh sb="0" eb="1">
      <t>ダイ</t>
    </rPh>
    <rPh sb="2" eb="3">
      <t>ゴウ</t>
    </rPh>
    <rPh sb="3" eb="5">
      <t>タンカ</t>
    </rPh>
    <rPh sb="5" eb="6">
      <t>ヒョウ</t>
    </rPh>
    <phoneticPr fontId="3"/>
  </si>
  <si>
    <t>第7号施工P単価表</t>
    <rPh sb="0" eb="1">
      <t>ダイ</t>
    </rPh>
    <rPh sb="2" eb="3">
      <t>ゴウ</t>
    </rPh>
    <rPh sb="3" eb="5">
      <t>セコウ</t>
    </rPh>
    <rPh sb="6" eb="8">
      <t>タンカ</t>
    </rPh>
    <rPh sb="8" eb="9">
      <t>ヒョウ</t>
    </rPh>
    <phoneticPr fontId="3"/>
  </si>
  <si>
    <t>第8号施工P単価表</t>
    <rPh sb="0" eb="1">
      <t>ダイ</t>
    </rPh>
    <rPh sb="2" eb="3">
      <t>ゴウ</t>
    </rPh>
    <rPh sb="3" eb="5">
      <t>セコウ</t>
    </rPh>
    <rPh sb="6" eb="8">
      <t>タンカ</t>
    </rPh>
    <rPh sb="8" eb="9">
      <t>ヒョウ</t>
    </rPh>
    <phoneticPr fontId="3"/>
  </si>
  <si>
    <t>第7号単価表</t>
    <rPh sb="0" eb="1">
      <t>ダイ</t>
    </rPh>
    <rPh sb="2" eb="3">
      <t>ゴウ</t>
    </rPh>
    <rPh sb="3" eb="5">
      <t>タンカ</t>
    </rPh>
    <rPh sb="5" eb="6">
      <t>ヒョウ</t>
    </rPh>
    <phoneticPr fontId="3"/>
  </si>
  <si>
    <t>第9号代価表</t>
    <phoneticPr fontId="3"/>
  </si>
  <si>
    <t>第10号代価表</t>
    <phoneticPr fontId="3"/>
  </si>
  <si>
    <t>(0.96+0.75)/2×1.03×1＝0.88</t>
    <phoneticPr fontId="3"/>
  </si>
  <si>
    <t>機械施工
1工事10m3未満</t>
    <rPh sb="0" eb="2">
      <t>キカイ</t>
    </rPh>
    <rPh sb="2" eb="4">
      <t>セコウ</t>
    </rPh>
    <rPh sb="6" eb="8">
      <t>コウジ</t>
    </rPh>
    <rPh sb="12" eb="14">
      <t>ミマン</t>
    </rPh>
    <phoneticPr fontId="3"/>
  </si>
  <si>
    <t>下層路盤
（全仕上り厚170㎜）</t>
    <rPh sb="0" eb="2">
      <t>カソウ</t>
    </rPh>
    <rPh sb="2" eb="4">
      <t>ロバン</t>
    </rPh>
    <rPh sb="6" eb="7">
      <t>ゼン</t>
    </rPh>
    <rPh sb="7" eb="9">
      <t>シアガ</t>
    </rPh>
    <rPh sb="10" eb="11">
      <t>アツ</t>
    </rPh>
    <phoneticPr fontId="3"/>
  </si>
  <si>
    <t>RC-40　t=17㎝</t>
    <phoneticPr fontId="3"/>
  </si>
  <si>
    <r>
      <t xml:space="preserve">表層
</t>
    </r>
    <r>
      <rPr>
        <sz val="8"/>
        <color theme="1"/>
        <rFont val="游ゴシック"/>
        <family val="3"/>
        <charset val="128"/>
        <scheme val="minor"/>
      </rPr>
      <t>（1層当り平均仕上り厚50㎜）</t>
    </r>
    <rPh sb="0" eb="2">
      <t>ヒョウソウ</t>
    </rPh>
    <rPh sb="5" eb="6">
      <t>ソウ</t>
    </rPh>
    <rPh sb="6" eb="7">
      <t>アタ</t>
    </rPh>
    <rPh sb="8" eb="10">
      <t>ヘイキン</t>
    </rPh>
    <rPh sb="10" eb="12">
      <t>シアガ</t>
    </rPh>
    <rPh sb="13" eb="14">
      <t>アツ</t>
    </rPh>
    <phoneticPr fontId="3"/>
  </si>
  <si>
    <t>再生密粒度ｱｽｺﾝ　t=5㎝</t>
    <rPh sb="0" eb="2">
      <t>サイセイ</t>
    </rPh>
    <rPh sb="2" eb="4">
      <t>ミツリュウ</t>
    </rPh>
    <rPh sb="4" eb="5">
      <t>ド</t>
    </rPh>
    <phoneticPr fontId="3"/>
  </si>
  <si>
    <t>無筋構造物</t>
    <rPh sb="0" eb="2">
      <t>ムキン</t>
    </rPh>
    <rPh sb="2" eb="5">
      <t>コウゾウブツ</t>
    </rPh>
    <phoneticPr fontId="3"/>
  </si>
  <si>
    <t>無筋構造物</t>
    <phoneticPr fontId="3"/>
  </si>
  <si>
    <t>Y ＝ -1.43571 LogX + 35.789</t>
    <phoneticPr fontId="3"/>
  </si>
  <si>
    <t>第6号単価表</t>
    <rPh sb="0" eb="1">
      <t>ダイ</t>
    </rPh>
    <rPh sb="2" eb="3">
      <t>ゴウ</t>
    </rPh>
    <rPh sb="3" eb="5">
      <t>タンカ</t>
    </rPh>
    <rPh sb="5" eb="6">
      <t>ヒョウ</t>
    </rPh>
    <phoneticPr fontId="3"/>
  </si>
  <si>
    <t>Y ＝ -4.97802 LogX + 56.92101</t>
    <phoneticPr fontId="3"/>
  </si>
  <si>
    <t>ケーブル（電灯）
VVR(SV)5.5-2C</t>
    <rPh sb="5" eb="7">
      <t>デントウ</t>
    </rPh>
    <phoneticPr fontId="3"/>
  </si>
  <si>
    <t>No.35-1号</t>
    <rPh sb="7" eb="8">
      <t>ゴウ</t>
    </rPh>
    <phoneticPr fontId="3"/>
  </si>
  <si>
    <t>6.5m+3.0m</t>
    <phoneticPr fontId="3"/>
  </si>
  <si>
    <t>VVR(SV)5.5-3C
動力用</t>
    <rPh sb="14" eb="17">
      <t>ドウリョクヨウ</t>
    </rPh>
    <phoneticPr fontId="3"/>
  </si>
  <si>
    <t>4.7ｍ+4.7ｍ</t>
    <phoneticPr fontId="3"/>
  </si>
  <si>
    <t>4.7ｍ</t>
    <phoneticPr fontId="3"/>
  </si>
  <si>
    <t>屋外自立型　SUS304
2.2kw×2台</t>
    <rPh sb="0" eb="2">
      <t>オクガイ</t>
    </rPh>
    <rPh sb="2" eb="5">
      <t>ジリツガタ</t>
    </rPh>
    <rPh sb="20" eb="21">
      <t>ダイ</t>
    </rPh>
    <phoneticPr fontId="3"/>
  </si>
  <si>
    <t>6.49+3.04+6.09+3.04＝18.66</t>
    <phoneticPr fontId="3"/>
  </si>
  <si>
    <t>6.49+3.04＝9.53</t>
    <phoneticPr fontId="3"/>
  </si>
  <si>
    <t>6.09+3.04＝9.13</t>
    <phoneticPr fontId="3"/>
  </si>
  <si>
    <t>VVR(SV)5.5-3C
動力用</t>
    <rPh sb="14" eb="16">
      <t>ドウリョク</t>
    </rPh>
    <rPh sb="16" eb="17">
      <t>ヨウ</t>
    </rPh>
    <phoneticPr fontId="3"/>
  </si>
  <si>
    <t>②汚水No.35-1号マンホールポンプ新設工事</t>
    <rPh sb="1" eb="3">
      <t>オスイ</t>
    </rPh>
    <rPh sb="10" eb="11">
      <t>ゴウ</t>
    </rPh>
    <rPh sb="19" eb="21">
      <t>シンセツ</t>
    </rPh>
    <rPh sb="21" eb="23">
      <t>コウジ</t>
    </rPh>
    <phoneticPr fontId="3"/>
  </si>
  <si>
    <t>①田川地区清水No.35-1号マンホールポンプ新設工事</t>
    <rPh sb="1" eb="3">
      <t>タガワ</t>
    </rPh>
    <rPh sb="3" eb="5">
      <t>チク</t>
    </rPh>
    <rPh sb="5" eb="7">
      <t>シミズ</t>
    </rPh>
    <rPh sb="14" eb="15">
      <t>ゴウ</t>
    </rPh>
    <rPh sb="23" eb="25">
      <t>シンセツ</t>
    </rPh>
    <rPh sb="25" eb="27">
      <t>コウジ</t>
    </rPh>
    <phoneticPr fontId="3"/>
  </si>
  <si>
    <t>Φ65×0.265m3/min
出力2.20kw　揚程13.0m
ﾉﾝｸﾛｯｸﾞｽｸﾘｭｰ型 ﾍﾞﾙﾏｳｽ付
（重量 119.0kg/台）</t>
    <rPh sb="16" eb="18">
      <t>シュツリョク</t>
    </rPh>
    <rPh sb="25" eb="27">
      <t>ヨウテイ</t>
    </rPh>
    <rPh sb="45" eb="46">
      <t>ガタ</t>
    </rPh>
    <rPh sb="53" eb="54">
      <t>ツ</t>
    </rPh>
    <rPh sb="56" eb="58">
      <t>ジュウリョウ</t>
    </rPh>
    <rPh sb="67" eb="68">
      <t>ダイ</t>
    </rPh>
    <phoneticPr fontId="3"/>
  </si>
  <si>
    <t>250W×100T×1300L
SUS304
（重量11.2kg/本）</t>
    <rPh sb="33" eb="34">
      <t>ホン</t>
    </rPh>
    <phoneticPr fontId="3"/>
  </si>
  <si>
    <t>250W×100T×1600L
SUS304
（重量13.4kg/本）</t>
    <rPh sb="33" eb="34">
      <t>ホン</t>
    </rPh>
    <phoneticPr fontId="3"/>
  </si>
  <si>
    <t>吐出管
(2F直管)</t>
    <phoneticPr fontId="3"/>
  </si>
  <si>
    <t>吐出管
(2F曲管)</t>
    <rPh sb="7" eb="8">
      <t>マ</t>
    </rPh>
    <phoneticPr fontId="3"/>
  </si>
  <si>
    <t>80A×750×320
SUS304
（重量17.0kg/本）</t>
    <phoneticPr fontId="3"/>
  </si>
  <si>
    <t>80A×65A×W790
SUS304
（重量23.5kg/本）</t>
    <phoneticPr fontId="3"/>
  </si>
  <si>
    <t>80A×1800L
SUS304
（重量18.1kg/本）</t>
    <phoneticPr fontId="3"/>
  </si>
  <si>
    <t>吐出管（２F直管）</t>
    <rPh sb="0" eb="2">
      <t>トシュツ</t>
    </rPh>
    <rPh sb="2" eb="3">
      <t>カン</t>
    </rPh>
    <rPh sb="6" eb="8">
      <t>チョッカン</t>
    </rPh>
    <phoneticPr fontId="3"/>
  </si>
  <si>
    <t>18.1kg/本</t>
    <rPh sb="7" eb="8">
      <t>ホン</t>
    </rPh>
    <phoneticPr fontId="3"/>
  </si>
  <si>
    <t>65A×1800L
SUS</t>
    <phoneticPr fontId="3"/>
  </si>
  <si>
    <t>(0.96+0.75)/2×1.03×6.15＝5.25</t>
    <phoneticPr fontId="3"/>
  </si>
  <si>
    <t>(0.78+0.75)/2×0.17×6.15＝0.79</t>
    <phoneticPr fontId="3"/>
  </si>
  <si>
    <t>(0.90+0.78)/2×0.37×6.15＝1.91</t>
    <phoneticPr fontId="3"/>
  </si>
  <si>
    <t>5.25-1.91=3.34</t>
    <phoneticPr fontId="3"/>
  </si>
  <si>
    <t>(0.77+0.75)/2×0.10×6.15＝0.46</t>
    <phoneticPr fontId="3"/>
  </si>
  <si>
    <t>6.15*2</t>
    <phoneticPr fontId="3"/>
  </si>
  <si>
    <t>12.3+6.40</t>
    <phoneticPr fontId="3"/>
  </si>
  <si>
    <t>6.15*0.75</t>
    <phoneticPr fontId="3"/>
  </si>
  <si>
    <t>2.4+4.61</t>
    <phoneticPr fontId="3"/>
  </si>
  <si>
    <t>7.01×0.05＝0.35</t>
    <phoneticPr fontId="3"/>
  </si>
  <si>
    <t>0.96*6.15</t>
    <phoneticPr fontId="3"/>
  </si>
  <si>
    <t>0.95*6.15=5.84</t>
    <phoneticPr fontId="3"/>
  </si>
  <si>
    <t>0.92*6.15=5.65</t>
    <phoneticPr fontId="3"/>
  </si>
  <si>
    <t>6.15ｍ+1.0ｍ　×3条</t>
    <rPh sb="13" eb="14">
      <t>ジョウ</t>
    </rPh>
    <phoneticPr fontId="3"/>
  </si>
  <si>
    <t>12.05m×2＝24.10　ﾎﾟﾝﾌﾟ付属ｹｰﾌﾞﾙのため、材料計上なし</t>
    <rPh sb="20" eb="22">
      <t>フゾク</t>
    </rPh>
    <rPh sb="31" eb="33">
      <t>ザイリョウ</t>
    </rPh>
    <rPh sb="33" eb="35">
      <t>ケイジョウ</t>
    </rPh>
    <phoneticPr fontId="3"/>
  </si>
  <si>
    <t>Dt2.0t　L=4.7km
(処分地)佐藤建設㈱</t>
    <rPh sb="16" eb="18">
      <t>ショブン</t>
    </rPh>
    <rPh sb="18" eb="19">
      <t>チ</t>
    </rPh>
    <rPh sb="20" eb="22">
      <t>サトウ</t>
    </rPh>
    <rPh sb="22" eb="24">
      <t>ケンセツ</t>
    </rPh>
    <phoneticPr fontId="3"/>
  </si>
  <si>
    <t>No.35-1MHP</t>
    <phoneticPr fontId="3"/>
  </si>
  <si>
    <t>As殻　L=11.0km
(処分地)鶴岡建設㈱</t>
    <rPh sb="2" eb="3">
      <t>ガラ</t>
    </rPh>
    <rPh sb="14" eb="16">
      <t>ショブン</t>
    </rPh>
    <rPh sb="16" eb="17">
      <t>チ</t>
    </rPh>
    <rPh sb="18" eb="20">
      <t>ツルオカ</t>
    </rPh>
    <rPh sb="20" eb="22">
      <t>ケンセツ</t>
    </rPh>
    <phoneticPr fontId="3"/>
  </si>
  <si>
    <t>土砂(岩塊・玉石混り土含む)
小規模 ﾊﾞｯｸﾎｳ山積0.13m3(平積0.10m3)
DID区間無し　5.5km以下</t>
    <rPh sb="0" eb="2">
      <t>ドシャ</t>
    </rPh>
    <rPh sb="3" eb="4">
      <t>イワ</t>
    </rPh>
    <rPh sb="4" eb="5">
      <t>カタマリ</t>
    </rPh>
    <rPh sb="6" eb="8">
      <t>タマイシ</t>
    </rPh>
    <rPh sb="8" eb="9">
      <t>マ</t>
    </rPh>
    <rPh sb="10" eb="11">
      <t>ツチ</t>
    </rPh>
    <rPh sb="11" eb="12">
      <t>フク</t>
    </rPh>
    <rPh sb="15" eb="18">
      <t>ショウキボ</t>
    </rPh>
    <rPh sb="25" eb="26">
      <t>ヤマ</t>
    </rPh>
    <rPh sb="26" eb="27">
      <t>ツ</t>
    </rPh>
    <rPh sb="34" eb="35">
      <t>ヒラ</t>
    </rPh>
    <rPh sb="35" eb="36">
      <t>ツ</t>
    </rPh>
    <rPh sb="47" eb="49">
      <t>クカン</t>
    </rPh>
    <rPh sb="49" eb="50">
      <t>ナ</t>
    </rPh>
    <rPh sb="57" eb="59">
      <t>イカ</t>
    </rPh>
    <phoneticPr fontId="3"/>
  </si>
  <si>
    <t>建設廃棄物処理
　鶴岡建設㈱</t>
    <rPh sb="0" eb="2">
      <t>ケンセツ</t>
    </rPh>
    <rPh sb="2" eb="5">
      <t>ハイキブツ</t>
    </rPh>
    <rPh sb="5" eb="7">
      <t>ショリ</t>
    </rPh>
    <rPh sb="9" eb="11">
      <t>ツルオカ</t>
    </rPh>
    <rPh sb="11" eb="13">
      <t>ケンセツ</t>
    </rPh>
    <phoneticPr fontId="3"/>
  </si>
  <si>
    <t>補助</t>
    <rPh sb="0" eb="2">
      <t>ホジョ</t>
    </rPh>
    <phoneticPr fontId="3"/>
  </si>
  <si>
    <t>単独</t>
    <rPh sb="0" eb="2">
      <t>タンドク</t>
    </rPh>
    <phoneticPr fontId="3"/>
  </si>
  <si>
    <t>単独</t>
    <rPh sb="0" eb="2">
      <t>タンドク</t>
    </rPh>
    <phoneticPr fontId="3"/>
  </si>
  <si>
    <t>複合工費　（電気）</t>
    <rPh sb="0" eb="2">
      <t>フクゴウ</t>
    </rPh>
    <rPh sb="2" eb="4">
      <t>コウヒ</t>
    </rPh>
    <rPh sb="6" eb="8">
      <t>デンキ</t>
    </rPh>
    <phoneticPr fontId="3"/>
  </si>
  <si>
    <t>口径65A、吐出量0.265m3/min、全揚程13.0m、出力2.20kw、200V</t>
    <rPh sb="0" eb="2">
      <t>コウケイ</t>
    </rPh>
    <rPh sb="6" eb="8">
      <t>トシュツ</t>
    </rPh>
    <rPh sb="8" eb="9">
      <t>リョウ</t>
    </rPh>
    <rPh sb="21" eb="24">
      <t>ゼンヨウテイ</t>
    </rPh>
    <rPh sb="30" eb="32">
      <t>シュツリョク</t>
    </rPh>
    <phoneticPr fontId="3"/>
  </si>
  <si>
    <t>羽根型式ﾉﾝｸﾛｯｸﾞスクリュー型ベルマウス付</t>
    <rPh sb="0" eb="2">
      <t>ハネ</t>
    </rPh>
    <rPh sb="2" eb="3">
      <t>ガタ</t>
    </rPh>
    <rPh sb="3" eb="4">
      <t>シキ</t>
    </rPh>
    <rPh sb="16" eb="17">
      <t>ガタ</t>
    </rPh>
    <rPh sb="22" eb="23">
      <t>ツ</t>
    </rPh>
    <phoneticPr fontId="3"/>
  </si>
  <si>
    <t>【田川地区No.35-1号マンホールポンプ新設工事（鶴岡市中清水 地内）】</t>
    <rPh sb="1" eb="3">
      <t>タガワ</t>
    </rPh>
    <rPh sb="3" eb="5">
      <t>チク</t>
    </rPh>
    <rPh sb="12" eb="13">
      <t>ゴウ</t>
    </rPh>
    <rPh sb="21" eb="23">
      <t>シンセツ</t>
    </rPh>
    <rPh sb="23" eb="25">
      <t>コウジ</t>
    </rPh>
    <rPh sb="26" eb="29">
      <t>ツルオカシ</t>
    </rPh>
    <rPh sb="29" eb="30">
      <t>ナカ</t>
    </rPh>
    <rPh sb="30" eb="32">
      <t>シミズ</t>
    </rPh>
    <rPh sb="33" eb="35">
      <t>チナイ</t>
    </rPh>
    <phoneticPr fontId="3"/>
  </si>
  <si>
    <t>施 行 経 費 内 訳 書（補助）</t>
    <rPh sb="0" eb="1">
      <t>シ</t>
    </rPh>
    <rPh sb="2" eb="3">
      <t>ギョウ</t>
    </rPh>
    <rPh sb="4" eb="5">
      <t>ヘ</t>
    </rPh>
    <rPh sb="6" eb="7">
      <t>ヒ</t>
    </rPh>
    <rPh sb="8" eb="9">
      <t>ウチ</t>
    </rPh>
    <rPh sb="10" eb="11">
      <t>ワケ</t>
    </rPh>
    <rPh sb="12" eb="13">
      <t>ショ</t>
    </rPh>
    <rPh sb="14" eb="16">
      <t>ホジョ</t>
    </rPh>
    <phoneticPr fontId="3"/>
  </si>
  <si>
    <t>施 行 経 費 内 訳 書（単独）</t>
    <rPh sb="0" eb="1">
      <t>シ</t>
    </rPh>
    <rPh sb="2" eb="3">
      <t>ギョウ</t>
    </rPh>
    <rPh sb="4" eb="5">
      <t>ヘ</t>
    </rPh>
    <rPh sb="6" eb="7">
      <t>ヒ</t>
    </rPh>
    <rPh sb="8" eb="9">
      <t>ウチ</t>
    </rPh>
    <rPh sb="10" eb="11">
      <t>ワケ</t>
    </rPh>
    <rPh sb="12" eb="13">
      <t>ショ</t>
    </rPh>
    <rPh sb="14" eb="16">
      <t>タンドク</t>
    </rPh>
    <phoneticPr fontId="3"/>
  </si>
  <si>
    <t>機械積込（小規模土工）
DID区間無し　13.5km以下</t>
    <rPh sb="0" eb="2">
      <t>キカイ</t>
    </rPh>
    <rPh sb="2" eb="4">
      <t>ツミコミ</t>
    </rPh>
    <rPh sb="5" eb="8">
      <t>ショウキボ</t>
    </rPh>
    <rPh sb="8" eb="10">
      <t>ドコウ</t>
    </rPh>
    <rPh sb="15" eb="17">
      <t>クカン</t>
    </rPh>
    <rPh sb="17" eb="18">
      <t>ナ</t>
    </rPh>
    <rPh sb="26" eb="28">
      <t>イカ</t>
    </rPh>
    <phoneticPr fontId="3"/>
  </si>
  <si>
    <t>電気明細書第2号</t>
    <rPh sb="0" eb="6">
      <t>デンキメイサイショダイ</t>
    </rPh>
    <rPh sb="7" eb="8">
      <t>ゴウ</t>
    </rPh>
    <phoneticPr fontId="3"/>
  </si>
  <si>
    <t>電気明細書第3号</t>
    <rPh sb="0" eb="6">
      <t>デンキメイサイショダイ</t>
    </rPh>
    <rPh sb="7" eb="8">
      <t>ゴウ</t>
    </rPh>
    <phoneticPr fontId="3"/>
  </si>
  <si>
    <t>電気明細書第4号</t>
    <rPh sb="0" eb="6">
      <t>デンキメイサイショダイ</t>
    </rPh>
    <rPh sb="7" eb="8">
      <t>ゴウ</t>
    </rPh>
    <phoneticPr fontId="3"/>
  </si>
  <si>
    <t>【田川地区No.35-1マンホールポンプ（鶴岡市中清水地内）】</t>
    <rPh sb="1" eb="3">
      <t>タガワ</t>
    </rPh>
    <rPh sb="3" eb="5">
      <t>チク</t>
    </rPh>
    <rPh sb="21" eb="24">
      <t>ツルオカシ</t>
    </rPh>
    <rPh sb="24" eb="25">
      <t>ナカ</t>
    </rPh>
    <rPh sb="25" eb="27">
      <t>シミズ</t>
    </rPh>
    <rPh sb="27" eb="29">
      <t>チナイ</t>
    </rPh>
    <phoneticPr fontId="3"/>
  </si>
  <si>
    <t>VCT1.25-4C
ポンプ用</t>
    <rPh sb="14" eb="15">
      <t>ヨウ</t>
    </rPh>
    <phoneticPr fontId="3"/>
  </si>
  <si>
    <t>R5農業集落排水施設標準積算指針p119</t>
    <rPh sb="2" eb="14">
      <t>ノウギョウシュウラクハイスイシセツヒョウジュンセキサン</t>
    </rPh>
    <rPh sb="14" eb="16">
      <t>シシン</t>
    </rPh>
    <phoneticPr fontId="3"/>
  </si>
  <si>
    <t>R5農業集落排水施設標準積算指針_p30</t>
    <rPh sb="2" eb="4">
      <t>ノウギョウ</t>
    </rPh>
    <rPh sb="4" eb="6">
      <t>シュウラク</t>
    </rPh>
    <rPh sb="6" eb="8">
      <t>ハイスイ</t>
    </rPh>
    <rPh sb="8" eb="10">
      <t>シセツ</t>
    </rPh>
    <rPh sb="10" eb="12">
      <t>ヒョウジュン</t>
    </rPh>
    <rPh sb="12" eb="14">
      <t>セキサン</t>
    </rPh>
    <rPh sb="14" eb="16">
      <t>シシン</t>
    </rPh>
    <phoneticPr fontId="3"/>
  </si>
  <si>
    <t>R5農業集落排水施設標準積算指針_p31</t>
    <rPh sb="2" eb="4">
      <t>ノウギョウ</t>
    </rPh>
    <rPh sb="4" eb="6">
      <t>シュウラク</t>
    </rPh>
    <rPh sb="6" eb="8">
      <t>ハイスイ</t>
    </rPh>
    <rPh sb="8" eb="10">
      <t>シセツ</t>
    </rPh>
    <rPh sb="10" eb="12">
      <t>ヒョウジュン</t>
    </rPh>
    <rPh sb="12" eb="14">
      <t>セキサン</t>
    </rPh>
    <rPh sb="14" eb="16">
      <t>シシン</t>
    </rPh>
    <phoneticPr fontId="3"/>
  </si>
  <si>
    <t>Y ＝ 426.49× X ^-0.1445</t>
    <phoneticPr fontId="3"/>
  </si>
  <si>
    <t>R5農業集落排水施設標準積算指針_p32</t>
    <rPh sb="2" eb="4">
      <t>ノウギョウ</t>
    </rPh>
    <rPh sb="4" eb="6">
      <t>シュウラク</t>
    </rPh>
    <rPh sb="6" eb="8">
      <t>ハイスイ</t>
    </rPh>
    <rPh sb="8" eb="10">
      <t>シセツ</t>
    </rPh>
    <rPh sb="10" eb="12">
      <t>ヒョウジュン</t>
    </rPh>
    <rPh sb="12" eb="14">
      <t>セキサン</t>
    </rPh>
    <rPh sb="14" eb="16">
      <t>シシン</t>
    </rPh>
    <phoneticPr fontId="3"/>
  </si>
  <si>
    <t>硬質ビニル電線管
PF36</t>
    <rPh sb="0" eb="2">
      <t>コウシツ</t>
    </rPh>
    <rPh sb="5" eb="8">
      <t>デンセンカン</t>
    </rPh>
    <phoneticPr fontId="3"/>
  </si>
  <si>
    <t>PF36</t>
    <phoneticPr fontId="3"/>
  </si>
  <si>
    <t>硬質ﾋﾞﾆﾙ管(露出)、22㎜以下</t>
    <rPh sb="0" eb="2">
      <t>コウシツ</t>
    </rPh>
    <rPh sb="6" eb="7">
      <t>カン</t>
    </rPh>
    <rPh sb="8" eb="10">
      <t>ロシュツ</t>
    </rPh>
    <rPh sb="15" eb="17">
      <t>イカ</t>
    </rPh>
    <phoneticPr fontId="3"/>
  </si>
  <si>
    <t>PF36</t>
    <phoneticPr fontId="18"/>
  </si>
  <si>
    <t>〇 補完率について、R5農業集落排水施設標準積算指針p116参照。</t>
    <rPh sb="2" eb="4">
      <t>ホカン</t>
    </rPh>
    <rPh sb="4" eb="5">
      <t>リツ</t>
    </rPh>
    <rPh sb="12" eb="14">
      <t>ノウギョウ</t>
    </rPh>
    <rPh sb="14" eb="16">
      <t>シュウラク</t>
    </rPh>
    <rPh sb="16" eb="18">
      <t>ハイスイ</t>
    </rPh>
    <rPh sb="18" eb="20">
      <t>シセツ</t>
    </rPh>
    <rPh sb="20" eb="22">
      <t>ヒョウジュン</t>
    </rPh>
    <rPh sb="22" eb="24">
      <t>セキサン</t>
    </rPh>
    <rPh sb="24" eb="26">
      <t>シシン</t>
    </rPh>
    <rPh sb="30" eb="32">
      <t>サンショウ</t>
    </rPh>
    <phoneticPr fontId="3"/>
  </si>
  <si>
    <t>R5農業集落排水施設標準積算指針p117</t>
    <rPh sb="2" eb="14">
      <t>ノウギョウシュウラクハイスイシセツヒョウジュンセキサン</t>
    </rPh>
    <rPh sb="14" eb="16">
      <t>シシン</t>
    </rPh>
    <phoneticPr fontId="3"/>
  </si>
  <si>
    <t>R5農業集落排水施設標準積算指針p125</t>
    <rPh sb="2" eb="16">
      <t>ノウギョウシュウラクハイスイシセツヒョウジュンセキサンシシン</t>
    </rPh>
    <phoneticPr fontId="3"/>
  </si>
  <si>
    <t>R5農業集落排水施設標準積算指針_p32</t>
    <phoneticPr fontId="3"/>
  </si>
  <si>
    <t>R5農業集落排水施設標準積算指針_p34</t>
    <rPh sb="2" eb="4">
      <t>ノウギョウ</t>
    </rPh>
    <rPh sb="4" eb="6">
      <t>シュウラク</t>
    </rPh>
    <rPh sb="6" eb="8">
      <t>ハイスイ</t>
    </rPh>
    <rPh sb="8" eb="10">
      <t>シセツ</t>
    </rPh>
    <rPh sb="10" eb="12">
      <t>ヒョウジュン</t>
    </rPh>
    <rPh sb="12" eb="14">
      <t>セキサン</t>
    </rPh>
    <rPh sb="14" eb="16">
      <t>シシン</t>
    </rPh>
    <phoneticPr fontId="3"/>
  </si>
  <si>
    <t>R5土地改良工事積算基準(土木工事)_p26</t>
    <rPh sb="2" eb="4">
      <t>トチ</t>
    </rPh>
    <rPh sb="4" eb="6">
      <t>カイリョウ</t>
    </rPh>
    <rPh sb="6" eb="8">
      <t>コウジ</t>
    </rPh>
    <rPh sb="8" eb="10">
      <t>セキサン</t>
    </rPh>
    <rPh sb="10" eb="12">
      <t>キジュン</t>
    </rPh>
    <rPh sb="13" eb="15">
      <t>ドボク</t>
    </rPh>
    <rPh sb="15" eb="17">
      <t>コウジ</t>
    </rPh>
    <phoneticPr fontId="3"/>
  </si>
  <si>
    <t>R5土地改良工事積算基準(施設機械)_p34</t>
    <rPh sb="2" eb="4">
      <t>トチ</t>
    </rPh>
    <rPh sb="4" eb="6">
      <t>カイリョウ</t>
    </rPh>
    <rPh sb="6" eb="8">
      <t>コウジ</t>
    </rPh>
    <rPh sb="8" eb="10">
      <t>セキサン</t>
    </rPh>
    <rPh sb="10" eb="12">
      <t>キジュン</t>
    </rPh>
    <rPh sb="13" eb="15">
      <t>シセツ</t>
    </rPh>
    <rPh sb="15" eb="17">
      <t>キカイ</t>
    </rPh>
    <phoneticPr fontId="3"/>
  </si>
  <si>
    <t>R5土地改良工事積算基準(施設機械)_p38</t>
    <rPh sb="2" eb="4">
      <t>トチ</t>
    </rPh>
    <rPh sb="4" eb="6">
      <t>カイリョウ</t>
    </rPh>
    <rPh sb="6" eb="8">
      <t>コウジ</t>
    </rPh>
    <rPh sb="8" eb="10">
      <t>セキサン</t>
    </rPh>
    <rPh sb="10" eb="12">
      <t>キジュン</t>
    </rPh>
    <rPh sb="13" eb="15">
      <t>シセツ</t>
    </rPh>
    <rPh sb="15" eb="17">
      <t>キカイ</t>
    </rPh>
    <phoneticPr fontId="3"/>
  </si>
  <si>
    <t>R5土地改良工事積算基準(土木工事)_p18</t>
    <rPh sb="2" eb="4">
      <t>トチ</t>
    </rPh>
    <rPh sb="4" eb="6">
      <t>カイリョウ</t>
    </rPh>
    <rPh sb="6" eb="8">
      <t>コウジ</t>
    </rPh>
    <rPh sb="8" eb="10">
      <t>セキサン</t>
    </rPh>
    <rPh sb="10" eb="12">
      <t>キジュン</t>
    </rPh>
    <rPh sb="13" eb="15">
      <t>ドボク</t>
    </rPh>
    <rPh sb="15" eb="17">
      <t>コウジ</t>
    </rPh>
    <phoneticPr fontId="3"/>
  </si>
  <si>
    <t>〇 補完率について、R5農業集落排水施設標準積算指針p116参照。※適用外</t>
    <rPh sb="2" eb="4">
      <t>ホカン</t>
    </rPh>
    <rPh sb="4" eb="5">
      <t>リツ</t>
    </rPh>
    <rPh sb="12" eb="14">
      <t>ノウギョウ</t>
    </rPh>
    <rPh sb="14" eb="16">
      <t>シュウラク</t>
    </rPh>
    <rPh sb="16" eb="18">
      <t>ハイスイ</t>
    </rPh>
    <rPh sb="18" eb="20">
      <t>シセツ</t>
    </rPh>
    <rPh sb="20" eb="22">
      <t>ヒョウジュン</t>
    </rPh>
    <rPh sb="22" eb="24">
      <t>セキサン</t>
    </rPh>
    <rPh sb="24" eb="26">
      <t>シシン</t>
    </rPh>
    <rPh sb="30" eb="32">
      <t>サンショウ</t>
    </rPh>
    <rPh sb="34" eb="36">
      <t>テキヨウ</t>
    </rPh>
    <rPh sb="36" eb="37">
      <t>ガイ</t>
    </rPh>
    <phoneticPr fontId="3"/>
  </si>
  <si>
    <t>Y ＝ 426.49× X ^-0.1445</t>
    <phoneticPr fontId="3"/>
  </si>
  <si>
    <t>屋外自立型　SUS304
ﾎﾟﾝﾌﾟ2.2kw×2台
（重量176.3kg/面）</t>
    <rPh sb="0" eb="2">
      <t>オクガイ</t>
    </rPh>
    <rPh sb="2" eb="4">
      <t>ジリツ</t>
    </rPh>
    <rPh sb="4" eb="5">
      <t>ガタ</t>
    </rPh>
    <rPh sb="25" eb="26">
      <t>ダイ</t>
    </rPh>
    <rPh sb="28" eb="30">
      <t>ジュウリョウ</t>
    </rPh>
    <rPh sb="38" eb="39">
      <t>メン</t>
    </rPh>
    <phoneticPr fontId="3"/>
  </si>
  <si>
    <t>フロート式ﾚﾍﾞﾙｽｲｯﾁ
ｹｰﾌﾞﾙ20m程度
（重量2.3kg/個）</t>
    <rPh sb="4" eb="5">
      <t>シキ</t>
    </rPh>
    <rPh sb="22" eb="24">
      <t>テイド</t>
    </rPh>
    <rPh sb="26" eb="28">
      <t>ジュウリョウ</t>
    </rPh>
    <rPh sb="34" eb="35">
      <t>コ</t>
    </rPh>
    <phoneticPr fontId="3"/>
  </si>
  <si>
    <t>消費税</t>
    <rPh sb="0" eb="3">
      <t>ショウヒゼイ</t>
    </rPh>
    <phoneticPr fontId="3"/>
  </si>
  <si>
    <t>工事価格</t>
    <rPh sb="0" eb="2">
      <t>コウジ</t>
    </rPh>
    <rPh sb="2" eb="4">
      <t>カカク</t>
    </rPh>
    <phoneticPr fontId="3"/>
  </si>
  <si>
    <t>第8号単価表</t>
    <rPh sb="0" eb="1">
      <t>ダイ</t>
    </rPh>
    <rPh sb="2" eb="3">
      <t>ゴウ</t>
    </rPh>
    <rPh sb="3" eb="5">
      <t>タンカ</t>
    </rPh>
    <rPh sb="5" eb="6">
      <t>ヒョウ</t>
    </rPh>
    <phoneticPr fontId="3"/>
  </si>
  <si>
    <t>令和3年度</t>
    <rPh sb="0" eb="2">
      <t>レイワ</t>
    </rPh>
    <rPh sb="3" eb="5">
      <t>ネンド</t>
    </rPh>
    <phoneticPr fontId="3"/>
  </si>
  <si>
    <t>鶴岡市 羽黒町石野新田ほか 地内</t>
    <rPh sb="0" eb="3">
      <t>ツルオカシ</t>
    </rPh>
    <rPh sb="4" eb="7">
      <t>ハグロマチ</t>
    </rPh>
    <rPh sb="7" eb="9">
      <t>イシノ</t>
    </rPh>
    <rPh sb="9" eb="11">
      <t>シンデン</t>
    </rPh>
    <rPh sb="14" eb="15">
      <t>チ</t>
    </rPh>
    <rPh sb="15" eb="16">
      <t>ナイ</t>
    </rPh>
    <phoneticPr fontId="3"/>
  </si>
  <si>
    <t>本工事費(合算)</t>
    <rPh sb="0" eb="1">
      <t>ガッポン</t>
    </rPh>
    <rPh sb="1" eb="4">
      <t>コウジヒ</t>
    </rPh>
    <rPh sb="5" eb="7">
      <t>ガッサン</t>
    </rPh>
    <phoneticPr fontId="3"/>
  </si>
  <si>
    <t>内訳書(合冊工事)</t>
    <rPh sb="0" eb="2">
      <t>ウチワケ</t>
    </rPh>
    <rPh sb="2" eb="3">
      <t>ショ</t>
    </rPh>
    <rPh sb="4" eb="6">
      <t>ガッサツ</t>
    </rPh>
    <rPh sb="6" eb="8">
      <t>コウジ</t>
    </rPh>
    <phoneticPr fontId="3"/>
  </si>
  <si>
    <t>61057000（工事価格）</t>
    <rPh sb="9" eb="11">
      <t>コウジ</t>
    </rPh>
    <rPh sb="11" eb="13">
      <t>カカク</t>
    </rPh>
    <phoneticPr fontId="3"/>
  </si>
  <si>
    <t>鶴岡市農業集落排水事業</t>
    <rPh sb="0" eb="3">
      <t>ツルオカシ</t>
    </rPh>
    <rPh sb="3" eb="11">
      <t>ノウギョウシュウラクハイスイジギョウ</t>
    </rPh>
    <phoneticPr fontId="3"/>
  </si>
  <si>
    <t>羽黒中央地区管路施設マンホールポンプ改良工事（第２工区）</t>
    <rPh sb="0" eb="2">
      <t>ハグロ</t>
    </rPh>
    <rPh sb="2" eb="4">
      <t>チュウオウ</t>
    </rPh>
    <rPh sb="4" eb="6">
      <t>チク</t>
    </rPh>
    <rPh sb="6" eb="8">
      <t>カンロ</t>
    </rPh>
    <rPh sb="8" eb="10">
      <t>シセツ</t>
    </rPh>
    <rPh sb="18" eb="20">
      <t>カイリョウ</t>
    </rPh>
    <rPh sb="20" eb="22">
      <t>コウジ</t>
    </rPh>
    <rPh sb="23" eb="24">
      <t>ダイ</t>
    </rPh>
    <rPh sb="25" eb="27">
      <t>コウク</t>
    </rPh>
    <phoneticPr fontId="3"/>
  </si>
  <si>
    <t>機械設備工　内訳書（合冊工事）</t>
    <rPh sb="0" eb="2">
      <t>キカイ</t>
    </rPh>
    <rPh sb="2" eb="4">
      <t>セツビ</t>
    </rPh>
    <rPh sb="4" eb="5">
      <t>コウ</t>
    </rPh>
    <rPh sb="6" eb="9">
      <t>ウチワケショ</t>
    </rPh>
    <rPh sb="10" eb="12">
      <t>ガッサツ</t>
    </rPh>
    <rPh sb="12" eb="14">
      <t>コウジ</t>
    </rPh>
    <phoneticPr fontId="3"/>
  </si>
  <si>
    <t xml:space="preserve"> </t>
    <phoneticPr fontId="3"/>
  </si>
  <si>
    <t>本工事（合冊工事）</t>
    <rPh sb="0" eb="1">
      <t>ホン</t>
    </rPh>
    <rPh sb="4" eb="6">
      <t>ガッサツ</t>
    </rPh>
    <rPh sb="6" eb="8">
      <t>コウジ</t>
    </rPh>
    <phoneticPr fontId="3"/>
  </si>
  <si>
    <t>羽黒西部第５中継ポンプ場</t>
    <rPh sb="0" eb="2">
      <t>ハグロ</t>
    </rPh>
    <rPh sb="2" eb="4">
      <t>セイブ</t>
    </rPh>
    <rPh sb="4" eb="5">
      <t>ダイ</t>
    </rPh>
    <rPh sb="6" eb="8">
      <t>チュウケイ</t>
    </rPh>
    <rPh sb="11" eb="12">
      <t>バ</t>
    </rPh>
    <phoneticPr fontId="3"/>
  </si>
  <si>
    <t>狩谷野目第３マンホールポンプ場</t>
    <rPh sb="0" eb="5">
      <t>カリヤノメダイ</t>
    </rPh>
    <rPh sb="14" eb="15">
      <t>バ</t>
    </rPh>
    <phoneticPr fontId="3"/>
  </si>
  <si>
    <t>狩谷野目第４マンホールポンプ場</t>
    <rPh sb="0" eb="5">
      <t>カリヤノメダイ</t>
    </rPh>
    <rPh sb="14" eb="15">
      <t>バ</t>
    </rPh>
    <phoneticPr fontId="3"/>
  </si>
  <si>
    <t>羽黒西部第１宅内ポンプ場</t>
    <rPh sb="0" eb="2">
      <t>ハグロ</t>
    </rPh>
    <rPh sb="2" eb="4">
      <t>セイブ</t>
    </rPh>
    <rPh sb="4" eb="5">
      <t>ダイ</t>
    </rPh>
    <rPh sb="6" eb="7">
      <t>タク</t>
    </rPh>
    <rPh sb="7" eb="8">
      <t>ナイ</t>
    </rPh>
    <rPh sb="11" eb="12">
      <t>バ</t>
    </rPh>
    <phoneticPr fontId="3"/>
  </si>
  <si>
    <t>羽黒西部第２宅内ポンプ場</t>
    <rPh sb="0" eb="2">
      <t>ハグロ</t>
    </rPh>
    <rPh sb="2" eb="4">
      <t>セイブ</t>
    </rPh>
    <rPh sb="4" eb="5">
      <t>ダイ</t>
    </rPh>
    <rPh sb="6" eb="7">
      <t>タク</t>
    </rPh>
    <rPh sb="7" eb="8">
      <t>ナイ</t>
    </rPh>
    <rPh sb="11" eb="12">
      <t>バ</t>
    </rPh>
    <phoneticPr fontId="3"/>
  </si>
  <si>
    <t>羽黒西部第３宅内ポンプ場</t>
    <rPh sb="0" eb="2">
      <t>ハグロ</t>
    </rPh>
    <rPh sb="2" eb="4">
      <t>セイブ</t>
    </rPh>
    <rPh sb="4" eb="5">
      <t>ダイ</t>
    </rPh>
    <rPh sb="6" eb="7">
      <t>タク</t>
    </rPh>
    <rPh sb="7" eb="8">
      <t>ナイ</t>
    </rPh>
    <rPh sb="11" eb="12">
      <t>バ</t>
    </rPh>
    <phoneticPr fontId="3"/>
  </si>
  <si>
    <t>黒瀬第１宅内ポンプ場</t>
    <rPh sb="0" eb="2">
      <t>クロセ</t>
    </rPh>
    <rPh sb="2" eb="3">
      <t>ダイ</t>
    </rPh>
    <rPh sb="4" eb="5">
      <t>タク</t>
    </rPh>
    <rPh sb="5" eb="6">
      <t>ナイ</t>
    </rPh>
    <rPh sb="9" eb="10">
      <t>バ</t>
    </rPh>
    <phoneticPr fontId="3"/>
  </si>
  <si>
    <t>（直接工事費）</t>
    <rPh sb="1" eb="3">
      <t>チョクセツ</t>
    </rPh>
    <rPh sb="3" eb="6">
      <t>コウジヒ</t>
    </rPh>
    <rPh sb="5" eb="6">
      <t>ヒ</t>
    </rPh>
    <phoneticPr fontId="3"/>
  </si>
  <si>
    <t>％</t>
    <phoneticPr fontId="3"/>
  </si>
  <si>
    <t>各工区合算</t>
    <rPh sb="0" eb="1">
      <t>カク</t>
    </rPh>
    <rPh sb="1" eb="3">
      <t>コウク</t>
    </rPh>
    <rPh sb="3" eb="5">
      <t>ガッサン</t>
    </rPh>
    <phoneticPr fontId="3"/>
  </si>
  <si>
    <t>別紙設計書（羽黒西部第１中継ポンプ場）</t>
    <rPh sb="0" eb="2">
      <t>ベッシ</t>
    </rPh>
    <rPh sb="2" eb="5">
      <t>セッケイショ</t>
    </rPh>
    <rPh sb="6" eb="8">
      <t>ハグロ</t>
    </rPh>
    <rPh sb="8" eb="10">
      <t>セイブ</t>
    </rPh>
    <rPh sb="10" eb="11">
      <t>ダイ</t>
    </rPh>
    <rPh sb="12" eb="14">
      <t>チュウケイ</t>
    </rPh>
    <rPh sb="17" eb="18">
      <t>バ</t>
    </rPh>
    <phoneticPr fontId="3"/>
  </si>
  <si>
    <t>別紙設計書（羽黒西部第2中継ポンプ場）</t>
    <rPh sb="0" eb="2">
      <t>ベッシ</t>
    </rPh>
    <rPh sb="2" eb="5">
      <t>セッケイショ</t>
    </rPh>
    <rPh sb="6" eb="8">
      <t>ハグロ</t>
    </rPh>
    <rPh sb="8" eb="10">
      <t>セイブ</t>
    </rPh>
    <rPh sb="10" eb="11">
      <t>ダイ</t>
    </rPh>
    <rPh sb="12" eb="14">
      <t>チュウケイ</t>
    </rPh>
    <rPh sb="17" eb="18">
      <t>バ</t>
    </rPh>
    <phoneticPr fontId="3"/>
  </si>
  <si>
    <t>別紙設計書（羽黒西部第3中継ポンプ場）</t>
    <rPh sb="0" eb="2">
      <t>ベッシ</t>
    </rPh>
    <rPh sb="2" eb="5">
      <t>セッケイショ</t>
    </rPh>
    <rPh sb="6" eb="8">
      <t>ハグロ</t>
    </rPh>
    <rPh sb="8" eb="10">
      <t>セイブ</t>
    </rPh>
    <rPh sb="10" eb="11">
      <t>ダイ</t>
    </rPh>
    <rPh sb="12" eb="14">
      <t>チュウケイ</t>
    </rPh>
    <rPh sb="17" eb="18">
      <t>バ</t>
    </rPh>
    <phoneticPr fontId="3"/>
  </si>
  <si>
    <t>別紙設計書（羽黒西部第4中継ポンプ場）</t>
    <rPh sb="0" eb="2">
      <t>ベッシ</t>
    </rPh>
    <rPh sb="2" eb="5">
      <t>セッケイショ</t>
    </rPh>
    <rPh sb="6" eb="8">
      <t>ハグロ</t>
    </rPh>
    <rPh sb="8" eb="10">
      <t>セイブ</t>
    </rPh>
    <rPh sb="10" eb="11">
      <t>ダイ</t>
    </rPh>
    <rPh sb="12" eb="14">
      <t>チュウケイ</t>
    </rPh>
    <rPh sb="17" eb="18">
      <t>バ</t>
    </rPh>
    <phoneticPr fontId="3"/>
  </si>
  <si>
    <t>別紙設計書（羽黒西部第5中継ポンプ場）</t>
    <rPh sb="0" eb="2">
      <t>ベッシ</t>
    </rPh>
    <rPh sb="2" eb="5">
      <t>セッケイショ</t>
    </rPh>
    <rPh sb="6" eb="8">
      <t>ハグロ</t>
    </rPh>
    <rPh sb="8" eb="10">
      <t>セイブ</t>
    </rPh>
    <rPh sb="10" eb="11">
      <t>ダイ</t>
    </rPh>
    <rPh sb="12" eb="14">
      <t>チュウケイ</t>
    </rPh>
    <rPh sb="17" eb="18">
      <t>バ</t>
    </rPh>
    <phoneticPr fontId="3"/>
  </si>
  <si>
    <t>※ 労務費(機械設備据付労務費)</t>
    <rPh sb="2" eb="5">
      <t>ロウムヒ</t>
    </rPh>
    <rPh sb="6" eb="8">
      <t>キカイ</t>
    </rPh>
    <rPh sb="8" eb="10">
      <t>セツビ</t>
    </rPh>
    <rPh sb="10" eb="12">
      <t>スエツケ</t>
    </rPh>
    <rPh sb="12" eb="14">
      <t>ロウム</t>
    </rPh>
    <rPh sb="14" eb="15">
      <t>ヒ</t>
    </rPh>
    <phoneticPr fontId="3"/>
  </si>
  <si>
    <t>(当初)</t>
    <rPh sb="1" eb="3">
      <t>トウショ</t>
    </rPh>
    <phoneticPr fontId="3"/>
  </si>
  <si>
    <t>(変更)</t>
    <rPh sb="1" eb="3">
      <t>ヘンコウ</t>
    </rPh>
    <phoneticPr fontId="3"/>
  </si>
  <si>
    <t>％</t>
    <phoneticPr fontId="3"/>
  </si>
  <si>
    <t>Y ＝ 2,858.52× X ^-0.2698</t>
    <phoneticPr fontId="3"/>
  </si>
  <si>
    <t>%</t>
    <phoneticPr fontId="3"/>
  </si>
  <si>
    <t>X ＝</t>
    <phoneticPr fontId="3"/>
  </si>
  <si>
    <t>①</t>
    <phoneticPr fontId="3"/>
  </si>
  <si>
    <t>②</t>
    <phoneticPr fontId="3"/>
  </si>
  <si>
    <t>③</t>
    <phoneticPr fontId="3"/>
  </si>
  <si>
    <t>Y ＝</t>
    <phoneticPr fontId="3"/>
  </si>
  <si>
    <t>%</t>
    <phoneticPr fontId="3"/>
  </si>
  <si>
    <t>X ＝</t>
    <phoneticPr fontId="3"/>
  </si>
  <si>
    <t>Y ＝ 183.41× X ^-0.2107</t>
    <phoneticPr fontId="3"/>
  </si>
  <si>
    <t>①</t>
    <phoneticPr fontId="3"/>
  </si>
  <si>
    <t>Y ＝</t>
    <phoneticPr fontId="3"/>
  </si>
  <si>
    <t>%</t>
    <phoneticPr fontId="3"/>
  </si>
  <si>
    <t>③</t>
    <phoneticPr fontId="3"/>
  </si>
  <si>
    <t>R ＝ 1-（K / 1.25）</t>
    <phoneticPr fontId="3"/>
  </si>
  <si>
    <t>K ＝</t>
    <phoneticPr fontId="3"/>
  </si>
  <si>
    <t>R ＝</t>
    <phoneticPr fontId="3"/>
  </si>
  <si>
    <t>Y' ＝</t>
    <phoneticPr fontId="3"/>
  </si>
  <si>
    <t>電気設備工　内訳書（合冊工事）</t>
    <rPh sb="0" eb="2">
      <t>デンキ</t>
    </rPh>
    <rPh sb="2" eb="4">
      <t>セツビ</t>
    </rPh>
    <rPh sb="4" eb="5">
      <t>コウ</t>
    </rPh>
    <rPh sb="6" eb="9">
      <t>ウチワケショ</t>
    </rPh>
    <rPh sb="10" eb="12">
      <t>ガッサツ</t>
    </rPh>
    <rPh sb="12" eb="14">
      <t>コウジ</t>
    </rPh>
    <phoneticPr fontId="3"/>
  </si>
  <si>
    <t>Y ＝ 349.9× X ^-0.1964</t>
    <phoneticPr fontId="3"/>
  </si>
  <si>
    <t>②</t>
    <phoneticPr fontId="3"/>
  </si>
  <si>
    <t>Y ＝</t>
    <phoneticPr fontId="3"/>
  </si>
  <si>
    <t>Y ＝ 217.0× X ^-0.1137</t>
    <phoneticPr fontId="3"/>
  </si>
  <si>
    <t>①</t>
    <phoneticPr fontId="3"/>
  </si>
  <si>
    <t>②</t>
    <phoneticPr fontId="3"/>
  </si>
  <si>
    <t>Y ＝ 42380.2× X ^-0.4711</t>
    <phoneticPr fontId="3"/>
  </si>
  <si>
    <t>%</t>
    <phoneticPr fontId="3"/>
  </si>
  <si>
    <t>Y' ＝</t>
    <phoneticPr fontId="3"/>
  </si>
  <si>
    <t>別紙設計書（補助）</t>
    <rPh sb="0" eb="2">
      <t>ベッシ</t>
    </rPh>
    <rPh sb="2" eb="5">
      <t>セッケイショ</t>
    </rPh>
    <rPh sb="6" eb="8">
      <t>ホジョ</t>
    </rPh>
    <phoneticPr fontId="3"/>
  </si>
  <si>
    <t>別紙設計書（単独）</t>
    <rPh sb="0" eb="2">
      <t>ベッシ</t>
    </rPh>
    <rPh sb="2" eb="5">
      <t>セッケイショ</t>
    </rPh>
    <rPh sb="6" eb="8">
      <t>タンドク</t>
    </rPh>
    <phoneticPr fontId="3"/>
  </si>
  <si>
    <t>R5農業集落排水施設標準積算指針_p34</t>
    <phoneticPr fontId="3"/>
  </si>
  <si>
    <t>2023.7　p678</t>
    <phoneticPr fontId="3"/>
  </si>
  <si>
    <t>2023.7　p690</t>
    <phoneticPr fontId="3"/>
  </si>
  <si>
    <t>2023.7　p429</t>
    <phoneticPr fontId="3"/>
  </si>
  <si>
    <t>2023.7　p678</t>
    <phoneticPr fontId="3"/>
  </si>
  <si>
    <t>2023.7　p541</t>
    <phoneticPr fontId="3"/>
  </si>
  <si>
    <t>2023.7　p652</t>
    <phoneticPr fontId="3"/>
  </si>
  <si>
    <t>2023.7　p540</t>
    <phoneticPr fontId="3"/>
  </si>
  <si>
    <t>2023.7　p650</t>
    <phoneticPr fontId="3"/>
  </si>
  <si>
    <t>2023.7　p574</t>
    <phoneticPr fontId="3"/>
  </si>
  <si>
    <t>2023.7　p690</t>
    <phoneticPr fontId="3"/>
  </si>
  <si>
    <t>2023.7.　p570</t>
    <phoneticPr fontId="3"/>
  </si>
  <si>
    <t>2023.7　p689</t>
    <phoneticPr fontId="3"/>
  </si>
  <si>
    <t>2023.7　p573</t>
    <phoneticPr fontId="3"/>
  </si>
  <si>
    <t>2023.7　p578</t>
    <phoneticPr fontId="3"/>
  </si>
  <si>
    <t>2023.7　p693</t>
    <phoneticPr fontId="3"/>
  </si>
  <si>
    <t>2023.7　p646</t>
    <phoneticPr fontId="3"/>
  </si>
  <si>
    <t>2023.7　p755</t>
    <phoneticPr fontId="3"/>
  </si>
  <si>
    <t>2023.7　p628</t>
    <phoneticPr fontId="3"/>
  </si>
  <si>
    <t>2023.7　p321</t>
    <phoneticPr fontId="3"/>
  </si>
  <si>
    <t>2023.7　p455</t>
    <phoneticPr fontId="3"/>
  </si>
  <si>
    <t>2023.7　p712</t>
    <phoneticPr fontId="3"/>
  </si>
  <si>
    <t>補助対象</t>
    <rPh sb="0" eb="2">
      <t>ホジョ</t>
    </rPh>
    <rPh sb="2" eb="4">
      <t>タイショウ</t>
    </rPh>
    <phoneticPr fontId="3"/>
  </si>
  <si>
    <t>単独対象</t>
    <rPh sb="0" eb="2">
      <t>タンドク</t>
    </rPh>
    <rPh sb="2" eb="4">
      <t>タイショウ</t>
    </rPh>
    <phoneticPr fontId="3"/>
  </si>
  <si>
    <t>Menuへ</t>
    <phoneticPr fontId="18"/>
  </si>
  <si>
    <t>本工事費内訳書</t>
    <rPh sb="0" eb="1">
      <t>ホン</t>
    </rPh>
    <rPh sb="1" eb="3">
      <t>コウジ</t>
    </rPh>
    <rPh sb="3" eb="4">
      <t>ヒ</t>
    </rPh>
    <rPh sb="4" eb="7">
      <t>ウチワケショ</t>
    </rPh>
    <phoneticPr fontId="18"/>
  </si>
  <si>
    <t>本工事費内訳書</t>
    <rPh sb="0" eb="1">
      <t>ホン</t>
    </rPh>
    <rPh sb="1" eb="2">
      <t>タクミ</t>
    </rPh>
    <rPh sb="2" eb="3">
      <t>コト</t>
    </rPh>
    <rPh sb="3" eb="4">
      <t>ヒ</t>
    </rPh>
    <rPh sb="4" eb="5">
      <t>ウチ</t>
    </rPh>
    <rPh sb="5" eb="6">
      <t>ヤク</t>
    </rPh>
    <rPh sb="6" eb="7">
      <t>ショ</t>
    </rPh>
    <phoneticPr fontId="18"/>
  </si>
  <si>
    <t>上段：当初、下段：変更</t>
    <rPh sb="0" eb="2">
      <t>ジョウダン</t>
    </rPh>
    <rPh sb="3" eb="5">
      <t>トウショ</t>
    </rPh>
    <rPh sb="6" eb="8">
      <t>ゲダン</t>
    </rPh>
    <rPh sb="9" eb="11">
      <t>ヘンコウ</t>
    </rPh>
    <phoneticPr fontId="18"/>
  </si>
  <si>
    <t>費目</t>
    <rPh sb="0" eb="2">
      <t>ヒモク</t>
    </rPh>
    <phoneticPr fontId="18"/>
  </si>
  <si>
    <t>工種</t>
    <rPh sb="0" eb="1">
      <t>コウ</t>
    </rPh>
    <rPh sb="1" eb="2">
      <t>シュ</t>
    </rPh>
    <phoneticPr fontId="18"/>
  </si>
  <si>
    <t>種別</t>
    <rPh sb="0" eb="2">
      <t>シュベツ</t>
    </rPh>
    <phoneticPr fontId="18"/>
  </si>
  <si>
    <t>細別</t>
    <rPh sb="0" eb="2">
      <t>サイベツ</t>
    </rPh>
    <phoneticPr fontId="18"/>
  </si>
  <si>
    <t>数量</t>
    <rPh sb="0" eb="2">
      <t>スウリョウ</t>
    </rPh>
    <phoneticPr fontId="18"/>
  </si>
  <si>
    <t>単位</t>
    <rPh sb="0" eb="2">
      <t>タンイ</t>
    </rPh>
    <phoneticPr fontId="18"/>
  </si>
  <si>
    <t>単価</t>
    <rPh sb="0" eb="2">
      <t>タンカ</t>
    </rPh>
    <phoneticPr fontId="18"/>
  </si>
  <si>
    <t>金額</t>
    <rPh sb="0" eb="2">
      <t>キンガク</t>
    </rPh>
    <phoneticPr fontId="18"/>
  </si>
  <si>
    <t>摘要</t>
    <rPh sb="0" eb="2">
      <t>テキヨウ</t>
    </rPh>
    <phoneticPr fontId="18"/>
  </si>
  <si>
    <t>本工事費</t>
    <rPh sb="0" eb="3">
      <t>ホンコウジ</t>
    </rPh>
    <rPh sb="3" eb="4">
      <t>ヒ</t>
    </rPh>
    <phoneticPr fontId="18"/>
  </si>
  <si>
    <t>合算</t>
    <rPh sb="0" eb="2">
      <t>ガッサン</t>
    </rPh>
    <phoneticPr fontId="18"/>
  </si>
  <si>
    <t>機械設備工</t>
    <rPh sb="0" eb="2">
      <t>キカイ</t>
    </rPh>
    <rPh sb="2" eb="4">
      <t>セツビ</t>
    </rPh>
    <rPh sb="4" eb="5">
      <t>コウ</t>
    </rPh>
    <phoneticPr fontId="18"/>
  </si>
  <si>
    <t>工事価格</t>
    <rPh sb="0" eb="2">
      <t>コウジ</t>
    </rPh>
    <rPh sb="2" eb="4">
      <t>カカク</t>
    </rPh>
    <phoneticPr fontId="18"/>
  </si>
  <si>
    <t>式</t>
    <rPh sb="0" eb="1">
      <t>シキ</t>
    </rPh>
    <phoneticPr fontId="18"/>
  </si>
  <si>
    <t>電気設備工</t>
    <rPh sb="0" eb="2">
      <t>デンキ</t>
    </rPh>
    <rPh sb="2" eb="4">
      <t>セツビ</t>
    </rPh>
    <rPh sb="4" eb="5">
      <t>コウ</t>
    </rPh>
    <phoneticPr fontId="18"/>
  </si>
  <si>
    <t>土木工事</t>
    <rPh sb="0" eb="2">
      <t>ドボク</t>
    </rPh>
    <rPh sb="2" eb="4">
      <t>コウジ</t>
    </rPh>
    <phoneticPr fontId="18"/>
  </si>
  <si>
    <t>(合計)</t>
    <rPh sb="1" eb="3">
      <t>ゴウケイ</t>
    </rPh>
    <phoneticPr fontId="18"/>
  </si>
  <si>
    <t>消費税等相当額</t>
    <rPh sb="0" eb="3">
      <t>ショウヒゼイ</t>
    </rPh>
    <rPh sb="3" eb="4">
      <t>トウ</t>
    </rPh>
    <rPh sb="4" eb="7">
      <t>ソウトウガク</t>
    </rPh>
    <phoneticPr fontId="18"/>
  </si>
  <si>
    <t>％</t>
    <phoneticPr fontId="18"/>
  </si>
  <si>
    <t>請負工事価格</t>
    <rPh sb="0" eb="2">
      <t>ウケオイ</t>
    </rPh>
    <rPh sb="2" eb="4">
      <t>コウジ</t>
    </rPh>
    <rPh sb="4" eb="6">
      <t>カカク</t>
    </rPh>
    <phoneticPr fontId="18"/>
  </si>
  <si>
    <t>％</t>
  </si>
  <si>
    <t>請負工事費</t>
    <rPh sb="0" eb="2">
      <t>ウケオイ</t>
    </rPh>
    <rPh sb="2" eb="5">
      <t>コウジヒ</t>
    </rPh>
    <phoneticPr fontId="18"/>
  </si>
  <si>
    <t>変更請負金額算出書</t>
    <rPh sb="0" eb="1">
      <t>ヘン</t>
    </rPh>
    <rPh sb="1" eb="2">
      <t>サラ</t>
    </rPh>
    <rPh sb="2" eb="3">
      <t>ショウ</t>
    </rPh>
    <rPh sb="3" eb="4">
      <t>フ</t>
    </rPh>
    <rPh sb="4" eb="5">
      <t>キン</t>
    </rPh>
    <rPh sb="5" eb="6">
      <t>ガク</t>
    </rPh>
    <rPh sb="6" eb="7">
      <t>サン</t>
    </rPh>
    <rPh sb="7" eb="8">
      <t>デ</t>
    </rPh>
    <rPh sb="8" eb="9">
      <t>ショ</t>
    </rPh>
    <phoneticPr fontId="18"/>
  </si>
  <si>
    <r>
      <t>当初請負工事費　(</t>
    </r>
    <r>
      <rPr>
        <sz val="10"/>
        <rFont val="ＭＳ ゴシック"/>
        <family val="3"/>
        <charset val="128"/>
      </rPr>
      <t>税込み)</t>
    </r>
    <rPh sb="0" eb="2">
      <t>トウショ</t>
    </rPh>
    <rPh sb="2" eb="4">
      <t>ウケオイ</t>
    </rPh>
    <rPh sb="4" eb="7">
      <t>コウジヒ</t>
    </rPh>
    <rPh sb="9" eb="11">
      <t>ゼイコ</t>
    </rPh>
    <phoneticPr fontId="18"/>
  </si>
  <si>
    <t>＝</t>
    <phoneticPr fontId="18"/>
  </si>
  <si>
    <t>円</t>
    <rPh sb="0" eb="1">
      <t>エン</t>
    </rPh>
    <phoneticPr fontId="18"/>
  </si>
  <si>
    <r>
      <t>当初請負代金　　(</t>
    </r>
    <r>
      <rPr>
        <sz val="10"/>
        <rFont val="ＭＳ ゴシック"/>
        <family val="3"/>
        <charset val="128"/>
      </rPr>
      <t>税込み)</t>
    </r>
    <rPh sb="0" eb="2">
      <t>トウショ</t>
    </rPh>
    <rPh sb="2" eb="4">
      <t>ウケオイ</t>
    </rPh>
    <rPh sb="4" eb="6">
      <t>ダイキン</t>
    </rPh>
    <rPh sb="9" eb="11">
      <t>ゼイコ</t>
    </rPh>
    <phoneticPr fontId="18"/>
  </si>
  <si>
    <t>＝</t>
    <phoneticPr fontId="18"/>
  </si>
  <si>
    <r>
      <t>変更工事価格　　(</t>
    </r>
    <r>
      <rPr>
        <sz val="10"/>
        <rFont val="ＭＳ ゴシック"/>
        <family val="3"/>
        <charset val="128"/>
      </rPr>
      <t>税抜き)</t>
    </r>
    <rPh sb="0" eb="2">
      <t>ヘンコウ</t>
    </rPh>
    <rPh sb="2" eb="4">
      <t>コウジ</t>
    </rPh>
    <rPh sb="4" eb="6">
      <t>カカク</t>
    </rPh>
    <rPh sb="9" eb="10">
      <t>ゼイ</t>
    </rPh>
    <rPh sb="10" eb="11">
      <t>ヌ</t>
    </rPh>
    <phoneticPr fontId="18"/>
  </si>
  <si>
    <t>変更請負代金額</t>
    <rPh sb="0" eb="1">
      <t>ヘン</t>
    </rPh>
    <rPh sb="1" eb="2">
      <t>サラ</t>
    </rPh>
    <rPh sb="2" eb="3">
      <t>ショウ</t>
    </rPh>
    <rPh sb="3" eb="4">
      <t>フ</t>
    </rPh>
    <rPh sb="4" eb="5">
      <t>ダイ</t>
    </rPh>
    <rPh sb="5" eb="6">
      <t>キン</t>
    </rPh>
    <rPh sb="6" eb="7">
      <t>ガク</t>
    </rPh>
    <phoneticPr fontId="18"/>
  </si>
  <si>
    <t>増</t>
    <rPh sb="0" eb="1">
      <t>ゾウ</t>
    </rPh>
    <phoneticPr fontId="18"/>
  </si>
  <si>
    <t>減</t>
    <rPh sb="0" eb="1">
      <t>ゲン</t>
    </rPh>
    <phoneticPr fontId="18"/>
  </si>
  <si>
    <t>変更工事代金　(Ａ)</t>
    <rPh sb="0" eb="2">
      <t>ヘンコウ</t>
    </rPh>
    <rPh sb="2" eb="4">
      <t>コウジ</t>
    </rPh>
    <rPh sb="4" eb="6">
      <t>ダイキン</t>
    </rPh>
    <phoneticPr fontId="18"/>
  </si>
  <si>
    <t>＝</t>
    <phoneticPr fontId="18"/>
  </si>
  <si>
    <t>消費税相当額　(Ｂ＝Ａ×10％）</t>
    <rPh sb="0" eb="3">
      <t>ショウヒゼイ</t>
    </rPh>
    <rPh sb="3" eb="6">
      <t>ソウトウガク</t>
    </rPh>
    <phoneticPr fontId="18"/>
  </si>
  <si>
    <t>変更請負代金　(Ａ＋Ｂ)</t>
    <rPh sb="0" eb="2">
      <t>ヘンコウ</t>
    </rPh>
    <rPh sb="2" eb="4">
      <t>ウケオイ</t>
    </rPh>
    <rPh sb="4" eb="6">
      <t>ダイキン</t>
    </rPh>
    <phoneticPr fontId="18"/>
  </si>
  <si>
    <t>変更工事価格</t>
    <rPh sb="0" eb="2">
      <t>ヘンコウ</t>
    </rPh>
    <rPh sb="2" eb="4">
      <t>コウジ</t>
    </rPh>
    <rPh sb="4" eb="6">
      <t>カカク</t>
    </rPh>
    <phoneticPr fontId="18"/>
  </si>
  <si>
    <t>×</t>
    <phoneticPr fontId="18"/>
  </si>
  <si>
    <t>×</t>
    <phoneticPr fontId="18"/>
  </si>
  <si>
    <t>当初請負代金</t>
    <rPh sb="0" eb="2">
      <t>トウショ</t>
    </rPh>
    <rPh sb="2" eb="4">
      <t>ウケオイ</t>
    </rPh>
    <rPh sb="4" eb="6">
      <t>ダイキン</t>
    </rPh>
    <phoneticPr fontId="18"/>
  </si>
  <si>
    <t>変更工事代金</t>
    <rPh sb="0" eb="2">
      <t>ヘンコウ</t>
    </rPh>
    <rPh sb="2" eb="4">
      <t>コウジ</t>
    </rPh>
    <rPh sb="4" eb="6">
      <t>ダイキン</t>
    </rPh>
    <phoneticPr fontId="18"/>
  </si>
  <si>
    <t>当初請負工事費</t>
    <rPh sb="0" eb="2">
      <t>トウショ</t>
    </rPh>
    <rPh sb="2" eb="4">
      <t>ウケオイ</t>
    </rPh>
    <rPh sb="4" eb="7">
      <t>コウジヒ</t>
    </rPh>
    <phoneticPr fontId="18"/>
  </si>
  <si>
    <t>設置</t>
    <rPh sb="0" eb="2">
      <t>セッチ</t>
    </rPh>
    <phoneticPr fontId="3"/>
  </si>
  <si>
    <t>複合工費2</t>
    <rPh sb="0" eb="2">
      <t>フクゴウ</t>
    </rPh>
    <rPh sb="2" eb="4">
      <t>コウヒ</t>
    </rPh>
    <phoneticPr fontId="3"/>
  </si>
  <si>
    <t>横断防止柵</t>
    <rPh sb="0" eb="2">
      <t>オウダン</t>
    </rPh>
    <rPh sb="2" eb="5">
      <t>ボウシサク</t>
    </rPh>
    <phoneticPr fontId="3"/>
  </si>
  <si>
    <t>ｍ</t>
    <phoneticPr fontId="3"/>
  </si>
  <si>
    <t>材料費</t>
    <rPh sb="0" eb="3">
      <t>ザイリョウヒ</t>
    </rPh>
    <phoneticPr fontId="3"/>
  </si>
  <si>
    <t>60.5*1000*800</t>
    <phoneticPr fontId="3"/>
  </si>
  <si>
    <t>プレキャストコンクリート
（基礎）</t>
    <rPh sb="14" eb="16">
      <t>キソ</t>
    </rPh>
    <phoneticPr fontId="3"/>
  </si>
  <si>
    <t>300*400□</t>
    <phoneticPr fontId="3"/>
  </si>
  <si>
    <t>第16号単価表</t>
    <rPh sb="4" eb="6">
      <t>タンカ</t>
    </rPh>
    <phoneticPr fontId="3"/>
  </si>
  <si>
    <t>令和6年度</t>
    <rPh sb="0" eb="2">
      <t>レイワ</t>
    </rPh>
    <rPh sb="3" eb="5">
      <t>ネンド</t>
    </rPh>
    <phoneticPr fontId="3"/>
  </si>
  <si>
    <t>R6農業集落排水施設標準積算指針p118</t>
    <rPh sb="2" eb="14">
      <t>ノウギョウシュウラクハイスイシセツヒョウジュンセキサン</t>
    </rPh>
    <rPh sb="14" eb="16">
      <t>シシン</t>
    </rPh>
    <phoneticPr fontId="3"/>
  </si>
  <si>
    <t>三瀬地区No.147-2号マンホールポンプ新設工事</t>
    <rPh sb="0" eb="2">
      <t>サンゼ</t>
    </rPh>
    <rPh sb="2" eb="4">
      <t>チク</t>
    </rPh>
    <rPh sb="12" eb="13">
      <t>ゴウ</t>
    </rPh>
    <rPh sb="21" eb="23">
      <t>シンセツ</t>
    </rPh>
    <rPh sb="23" eb="25">
      <t>コウジ</t>
    </rPh>
    <phoneticPr fontId="3"/>
  </si>
  <si>
    <t>鶴岡市三瀬　地内</t>
    <rPh sb="0" eb="3">
      <t>ツルオカシ</t>
    </rPh>
    <rPh sb="3" eb="5">
      <t>サンゼ</t>
    </rPh>
    <rPh sb="6" eb="7">
      <t>チ</t>
    </rPh>
    <rPh sb="7" eb="8">
      <t>ナイ</t>
    </rPh>
    <phoneticPr fontId="3"/>
  </si>
  <si>
    <t>No.147-2号マンホールポンプ</t>
    <phoneticPr fontId="3"/>
  </si>
  <si>
    <t>鶴岡市集落排水事業</t>
    <rPh sb="0" eb="9">
      <t>ツルオカシシュウラクハイスイジギョウ</t>
    </rPh>
    <phoneticPr fontId="3"/>
  </si>
  <si>
    <t>　自動微細目スクリーン</t>
    <rPh sb="1" eb="3">
      <t>ジドウ</t>
    </rPh>
    <rPh sb="3" eb="6">
      <t>ビサイメ</t>
    </rPh>
    <phoneticPr fontId="3"/>
  </si>
  <si>
    <t>目幅2㎜　65㎥/h　0.025kw</t>
    <rPh sb="0" eb="2">
      <t>メハバ</t>
    </rPh>
    <phoneticPr fontId="3"/>
  </si>
  <si>
    <t>　し渣脱水機</t>
    <rPh sb="2" eb="3">
      <t>サ</t>
    </rPh>
    <rPh sb="3" eb="6">
      <t>ダッスイキ</t>
    </rPh>
    <phoneticPr fontId="3"/>
  </si>
  <si>
    <t>60ℓ/h　0.1kw</t>
    <phoneticPr fontId="3"/>
  </si>
  <si>
    <t>補助対象 N=１(4面連結)</t>
    <rPh sb="0" eb="2">
      <t>ホジョ</t>
    </rPh>
    <rPh sb="2" eb="4">
      <t>タイショウ</t>
    </rPh>
    <rPh sb="10" eb="11">
      <t>メン</t>
    </rPh>
    <rPh sb="11" eb="13">
      <t>レンケツ</t>
    </rPh>
    <phoneticPr fontId="3"/>
  </si>
  <si>
    <t>N=１(1面)</t>
    <rPh sb="5" eb="6">
      <t>メン</t>
    </rPh>
    <phoneticPr fontId="3"/>
  </si>
  <si>
    <t>補助対象 N=１(1面)</t>
    <rPh sb="0" eb="2">
      <t>ホジョ</t>
    </rPh>
    <rPh sb="2" eb="4">
      <t>タイショウ</t>
    </rPh>
    <rPh sb="10" eb="11">
      <t>メン</t>
    </rPh>
    <phoneticPr fontId="3"/>
  </si>
  <si>
    <t>参考寸法 W800×D600×H1950</t>
    <rPh sb="0" eb="2">
      <t>サンコウ</t>
    </rPh>
    <rPh sb="2" eb="4">
      <t>スンポウ</t>
    </rPh>
    <phoneticPr fontId="3"/>
  </si>
  <si>
    <t>機器費-1</t>
    <rPh sb="0" eb="2">
      <t>キキ</t>
    </rPh>
    <rPh sb="2" eb="3">
      <t>ヒ</t>
    </rPh>
    <phoneticPr fontId="3"/>
  </si>
  <si>
    <t>令和７年度</t>
    <rPh sb="0" eb="2">
      <t>レイワ</t>
    </rPh>
    <rPh sb="3" eb="5">
      <t>ネンド</t>
    </rPh>
    <phoneticPr fontId="3"/>
  </si>
  <si>
    <t>【東栄地区処理施設更新工事】</t>
    <rPh sb="1" eb="3">
      <t>トウエイ</t>
    </rPh>
    <rPh sb="3" eb="5">
      <t>チク</t>
    </rPh>
    <rPh sb="5" eb="9">
      <t>ショリシセツ</t>
    </rPh>
    <rPh sb="9" eb="11">
      <t>コウシン</t>
    </rPh>
    <rPh sb="11" eb="13">
      <t>コウジ</t>
    </rPh>
    <phoneticPr fontId="3"/>
  </si>
  <si>
    <t>　脱水機ユニット</t>
    <rPh sb="1" eb="4">
      <t>ダッスイキ</t>
    </rPh>
    <phoneticPr fontId="3"/>
  </si>
  <si>
    <t>N=1基(1箇所)</t>
    <rPh sb="3" eb="4">
      <t>キ</t>
    </rPh>
    <rPh sb="6" eb="8">
      <t>カショ</t>
    </rPh>
    <phoneticPr fontId="3"/>
  </si>
  <si>
    <t>補助対象 N=1基(1箇所)</t>
    <rPh sb="0" eb="2">
      <t>ホジョ</t>
    </rPh>
    <rPh sb="2" eb="4">
      <t>タイショウ</t>
    </rPh>
    <rPh sb="8" eb="9">
      <t>キ</t>
    </rPh>
    <rPh sb="11" eb="13">
      <t>カショ</t>
    </rPh>
    <phoneticPr fontId="3"/>
  </si>
  <si>
    <t>N=2台</t>
    <rPh sb="3" eb="4">
      <t>ダイ</t>
    </rPh>
    <phoneticPr fontId="3"/>
  </si>
  <si>
    <t>①自動微細目スクリーン</t>
    <rPh sb="1" eb="3">
      <t>ジドウ</t>
    </rPh>
    <rPh sb="3" eb="6">
      <t>ビサイメ</t>
    </rPh>
    <phoneticPr fontId="3"/>
  </si>
  <si>
    <t>②し渣脱水機</t>
    <rPh sb="2" eb="3">
      <t>サ</t>
    </rPh>
    <rPh sb="3" eb="6">
      <t>ダッスイキ</t>
    </rPh>
    <phoneticPr fontId="3"/>
  </si>
  <si>
    <t>③排気ファン</t>
    <rPh sb="1" eb="3">
      <t>ハイキ</t>
    </rPh>
    <phoneticPr fontId="3"/>
  </si>
  <si>
    <t>φ200　５㎥/min　0.025kw</t>
    <phoneticPr fontId="3"/>
  </si>
  <si>
    <t>　動力制御盤(改修)</t>
    <rPh sb="1" eb="3">
      <t>ドウリョク</t>
    </rPh>
    <rPh sb="3" eb="6">
      <t>セイギョバン</t>
    </rPh>
    <rPh sb="7" eb="9">
      <t>カイシュウ</t>
    </rPh>
    <phoneticPr fontId="3"/>
  </si>
  <si>
    <t>　計装盤(改修)</t>
    <rPh sb="1" eb="3">
      <t>ケイソウ</t>
    </rPh>
    <rPh sb="3" eb="4">
      <t>バン</t>
    </rPh>
    <rPh sb="5" eb="7">
      <t>カイシュウ</t>
    </rPh>
    <phoneticPr fontId="3"/>
  </si>
  <si>
    <t>【東栄地区浄化センター更新工事】</t>
    <rPh sb="1" eb="3">
      <t>トウエイ</t>
    </rPh>
    <rPh sb="3" eb="5">
      <t>チク</t>
    </rPh>
    <rPh sb="5" eb="7">
      <t>ジョウカ</t>
    </rPh>
    <rPh sb="11" eb="13">
      <t>コウシン</t>
    </rPh>
    <rPh sb="13" eb="15">
      <t>コウジ</t>
    </rPh>
    <phoneticPr fontId="3"/>
  </si>
  <si>
    <t>脱水機ユニット</t>
    <rPh sb="0" eb="3">
      <t>ダッスイキ</t>
    </rPh>
    <phoneticPr fontId="3"/>
  </si>
  <si>
    <t>　排気ファン</t>
    <rPh sb="1" eb="3">
      <t>ハイキ</t>
    </rPh>
    <phoneticPr fontId="3"/>
  </si>
  <si>
    <t>脱水機ユニット</t>
    <rPh sb="0" eb="3">
      <t>ダッスイキ</t>
    </rPh>
    <phoneticPr fontId="3"/>
  </si>
  <si>
    <t>自動微細目スクリーン　　　　　　　　　　　　　　　　　　　　　　目幅2㎜　65㎥/h　0.025kw</t>
    <rPh sb="0" eb="2">
      <t>ジドウ</t>
    </rPh>
    <rPh sb="2" eb="5">
      <t>ビサイメ</t>
    </rPh>
    <rPh sb="32" eb="34">
      <t>メハバ</t>
    </rPh>
    <phoneticPr fontId="3"/>
  </si>
  <si>
    <t>し渣脱水機　　　　　　　　　　　　　　　60ℓ/h　0.1kw</t>
    <rPh sb="1" eb="2">
      <t>サ</t>
    </rPh>
    <rPh sb="2" eb="5">
      <t>ダッスイキ</t>
    </rPh>
    <phoneticPr fontId="3"/>
  </si>
  <si>
    <t>　　　〃</t>
    <phoneticPr fontId="3"/>
  </si>
  <si>
    <t>排気ファン　　　　　　　　　　　φ200　5.0㎥/min　0.025kw</t>
    <rPh sb="0" eb="2">
      <t>ハイキ</t>
    </rPh>
    <phoneticPr fontId="3"/>
  </si>
  <si>
    <t>ユニット本体・架台</t>
    <rPh sb="4" eb="6">
      <t>ホンタイ</t>
    </rPh>
    <rPh sb="7" eb="9">
      <t>ガダイ</t>
    </rPh>
    <phoneticPr fontId="3"/>
  </si>
  <si>
    <t>④ユニット本体・架台</t>
    <rPh sb="5" eb="7">
      <t>ホンタイ</t>
    </rPh>
    <rPh sb="8" eb="10">
      <t>ガダイ</t>
    </rPh>
    <phoneticPr fontId="3"/>
  </si>
  <si>
    <t>　ユニット本体・架台</t>
    <rPh sb="5" eb="7">
      <t>ホンタイ</t>
    </rPh>
    <rPh sb="8" eb="10">
      <t>ガダイ</t>
    </rPh>
    <phoneticPr fontId="3"/>
  </si>
  <si>
    <t>塩化ビニル管</t>
    <rPh sb="0" eb="2">
      <t>エンカ</t>
    </rPh>
    <rPh sb="5" eb="6">
      <t>カン</t>
    </rPh>
    <phoneticPr fontId="3"/>
  </si>
  <si>
    <t>VU100φ</t>
    <phoneticPr fontId="3"/>
  </si>
  <si>
    <t>m</t>
    <phoneticPr fontId="3"/>
  </si>
  <si>
    <t>R6農業集落排水施設標準積算指針p117</t>
    <rPh sb="2" eb="14">
      <t>ノウギョウシュウラクハイスイシセツヒョウジュンセキサン</t>
    </rPh>
    <rPh sb="14" eb="16">
      <t>シシン</t>
    </rPh>
    <phoneticPr fontId="3"/>
  </si>
  <si>
    <t>（工事原価×0.68%）</t>
    <rPh sb="1" eb="3">
      <t>コウジ</t>
    </rPh>
    <rPh sb="3" eb="5">
      <t>ゲンカ</t>
    </rPh>
    <phoneticPr fontId="3"/>
  </si>
  <si>
    <t>CV4C×2SQ</t>
    <phoneticPr fontId="3"/>
  </si>
  <si>
    <t>m</t>
    <phoneticPr fontId="3"/>
  </si>
  <si>
    <t>HIVP 22φ</t>
    <phoneticPr fontId="3"/>
  </si>
  <si>
    <t>電線</t>
    <rPh sb="0" eb="2">
      <t>デンセン</t>
    </rPh>
    <phoneticPr fontId="3"/>
  </si>
  <si>
    <t>塩化ビニル管</t>
    <rPh sb="0" eb="2">
      <t>エンカ</t>
    </rPh>
    <rPh sb="5" eb="6">
      <t>カン</t>
    </rPh>
    <phoneticPr fontId="3"/>
  </si>
  <si>
    <t>コンクリート穴あけ・はつり</t>
    <rPh sb="6" eb="7">
      <t>アナ</t>
    </rPh>
    <phoneticPr fontId="3"/>
  </si>
  <si>
    <t>直径2.5cm 厚さ20㎝</t>
    <rPh sb="0" eb="2">
      <t>チョッケイ</t>
    </rPh>
    <rPh sb="8" eb="9">
      <t>アツ</t>
    </rPh>
    <phoneticPr fontId="3"/>
  </si>
  <si>
    <t>箇所</t>
    <rPh sb="0" eb="2">
      <t>カショ</t>
    </rPh>
    <phoneticPr fontId="3"/>
  </si>
  <si>
    <t>制御盤・計装盤改修</t>
    <rPh sb="0" eb="3">
      <t>セイギョバン</t>
    </rPh>
    <rPh sb="4" eb="7">
      <t>ケイソウバン</t>
    </rPh>
    <rPh sb="7" eb="9">
      <t>カイシュウ</t>
    </rPh>
    <phoneticPr fontId="3"/>
  </si>
  <si>
    <t>式</t>
    <rPh sb="0" eb="1">
      <t>シキ</t>
    </rPh>
    <phoneticPr fontId="3"/>
  </si>
  <si>
    <t>50A sch20</t>
    <phoneticPr fontId="3"/>
  </si>
  <si>
    <t>ステンレス管</t>
    <rPh sb="5" eb="6">
      <t>カン</t>
    </rPh>
    <phoneticPr fontId="3"/>
  </si>
  <si>
    <t>材工共                                                               監視装置・ｸﾗｳﾄﾞ変更含む</t>
    <rPh sb="0" eb="3">
      <t>ザイコウトモ</t>
    </rPh>
    <rPh sb="66" eb="70">
      <t>カンシソウチ</t>
    </rPh>
    <rPh sb="76" eb="78">
      <t>ヘンコウ</t>
    </rPh>
    <rPh sb="78" eb="79">
      <t>フク</t>
    </rPh>
    <phoneticPr fontId="3"/>
  </si>
  <si>
    <t>（工事原価×0.65%）</t>
    <rPh sb="1" eb="3">
      <t>コウジ</t>
    </rPh>
    <rPh sb="3" eb="5">
      <t>ゲンカ</t>
    </rPh>
    <phoneticPr fontId="3"/>
  </si>
  <si>
    <t xml:space="preserve">                                                                  鶴岡市楪地内</t>
    <rPh sb="66" eb="69">
      <t>ツルオカシ</t>
    </rPh>
    <rPh sb="69" eb="70">
      <t>ユズリハ</t>
    </rPh>
    <rPh sb="70" eb="72">
      <t>チナイ</t>
    </rPh>
    <phoneticPr fontId="3"/>
  </si>
  <si>
    <t>東栄地区処理施設機械設備改修工事</t>
    <rPh sb="0" eb="2">
      <t>トウエイ</t>
    </rPh>
    <rPh sb="2" eb="4">
      <t>チク</t>
    </rPh>
    <rPh sb="4" eb="6">
      <t>ショリ</t>
    </rPh>
    <rPh sb="6" eb="8">
      <t>シセツ</t>
    </rPh>
    <rPh sb="8" eb="10">
      <t>キカイ</t>
    </rPh>
    <rPh sb="10" eb="12">
      <t>セツビ</t>
    </rPh>
    <rPh sb="12" eb="14">
      <t>カイシュウ</t>
    </rPh>
    <rPh sb="14" eb="16">
      <t>コウジ</t>
    </rPh>
    <phoneticPr fontId="3"/>
  </si>
  <si>
    <t>R7下水道用設計標準歩掛表第2巻</t>
    <rPh sb="2" eb="5">
      <t>ゲスイドウ</t>
    </rPh>
    <rPh sb="5" eb="6">
      <t>ヨウ</t>
    </rPh>
    <rPh sb="6" eb="8">
      <t>セッケイ</t>
    </rPh>
    <rPh sb="8" eb="10">
      <t>ヒョウジュン</t>
    </rPh>
    <rPh sb="10" eb="12">
      <t>ブガカリ</t>
    </rPh>
    <rPh sb="12" eb="13">
      <t>ヒョウ</t>
    </rPh>
    <rPh sb="13" eb="14">
      <t>ダイ</t>
    </rPh>
    <rPh sb="15" eb="16">
      <t>カン</t>
    </rPh>
    <phoneticPr fontId="3"/>
  </si>
  <si>
    <t>R7下水道用設計標準歩掛表第2巻p186</t>
    <rPh sb="2" eb="5">
      <t>ゲスイドウ</t>
    </rPh>
    <rPh sb="5" eb="6">
      <t>ヨウ</t>
    </rPh>
    <rPh sb="6" eb="8">
      <t>セッケイ</t>
    </rPh>
    <rPh sb="8" eb="10">
      <t>ヒョウジュン</t>
    </rPh>
    <rPh sb="10" eb="12">
      <t>ブガカリ</t>
    </rPh>
    <rPh sb="12" eb="13">
      <t>ヒョウ</t>
    </rPh>
    <rPh sb="13" eb="14">
      <t>ダイ</t>
    </rPh>
    <rPh sb="15" eb="16">
      <t>カン</t>
    </rPh>
    <phoneticPr fontId="3"/>
  </si>
  <si>
    <t>機械設備明細書第4号</t>
    <rPh sb="0" eb="2">
      <t>キカイ</t>
    </rPh>
    <rPh sb="2" eb="4">
      <t>セツビ</t>
    </rPh>
    <rPh sb="4" eb="7">
      <t>メイサイショ</t>
    </rPh>
    <rPh sb="7" eb="8">
      <t>ダイ</t>
    </rPh>
    <rPh sb="9" eb="10">
      <t>ゴウ</t>
    </rPh>
    <phoneticPr fontId="3"/>
  </si>
  <si>
    <t>（機器費+直接工事費+間接工事費）</t>
    <rPh sb="1" eb="4">
      <t>キキヒ</t>
    </rPh>
    <rPh sb="5" eb="7">
      <t>チョクセツ</t>
    </rPh>
    <rPh sb="7" eb="9">
      <t>コウジ</t>
    </rPh>
    <rPh sb="9" eb="10">
      <t>ヒ</t>
    </rPh>
    <rPh sb="11" eb="13">
      <t>カンセツ</t>
    </rPh>
    <rPh sb="13" eb="15">
      <t>コウジ</t>
    </rPh>
    <rPh sb="15" eb="16">
      <t>ヒ</t>
    </rPh>
    <phoneticPr fontId="3"/>
  </si>
  <si>
    <t>電気明細書第4号</t>
    <rPh sb="0" eb="2">
      <t>デンキ</t>
    </rPh>
    <rPh sb="2" eb="5">
      <t>メイサイショ</t>
    </rPh>
    <rPh sb="5" eb="6">
      <t>ダイ</t>
    </rPh>
    <rPh sb="7" eb="8">
      <t>ゴウ</t>
    </rPh>
    <phoneticPr fontId="3"/>
  </si>
  <si>
    <t>N=１(4面連結)</t>
    <rPh sb="5" eb="6">
      <t>メン</t>
    </rPh>
    <rPh sb="6" eb="8">
      <t>レンケツ</t>
    </rPh>
    <phoneticPr fontId="3"/>
  </si>
  <si>
    <t>（材料費+労務費）</t>
    <rPh sb="1" eb="4">
      <t>ザイリョウヒ</t>
    </rPh>
    <rPh sb="3" eb="4">
      <t>ヒ</t>
    </rPh>
    <rPh sb="5" eb="8">
      <t>ロウムヒ</t>
    </rPh>
    <rPh sb="8" eb="9">
      <t>コウヒ</t>
    </rPh>
    <phoneticPr fontId="3"/>
  </si>
  <si>
    <t>（共通仮設費+現場管理費+据付間接費）</t>
    <rPh sb="1" eb="3">
      <t>キョウツウ</t>
    </rPh>
    <rPh sb="3" eb="6">
      <t>カセツヒ</t>
    </rPh>
    <rPh sb="7" eb="9">
      <t>ゲンバ</t>
    </rPh>
    <rPh sb="9" eb="11">
      <t>カンリ</t>
    </rPh>
    <rPh sb="11" eb="12">
      <t>ヒ</t>
    </rPh>
    <rPh sb="13" eb="15">
      <t>スエツケ</t>
    </rPh>
    <rPh sb="15" eb="18">
      <t>カンセツヒ</t>
    </rPh>
    <phoneticPr fontId="3"/>
  </si>
  <si>
    <t>　据付間接費　計</t>
    <rPh sb="1" eb="3">
      <t>スエツケ</t>
    </rPh>
    <rPh sb="3" eb="5">
      <t>カンセツ</t>
    </rPh>
    <rPh sb="5" eb="6">
      <t>ヒ</t>
    </rPh>
    <rPh sb="7" eb="8">
      <t>ケイ</t>
    </rPh>
    <phoneticPr fontId="3"/>
  </si>
  <si>
    <t>　現場管理費　計</t>
    <rPh sb="1" eb="3">
      <t>ゲンバ</t>
    </rPh>
    <rPh sb="3" eb="6">
      <t>カンリヒ</t>
    </rPh>
    <rPh sb="7" eb="8">
      <t>ケイ</t>
    </rPh>
    <phoneticPr fontId="3"/>
  </si>
  <si>
    <t>　共通仮設費　計</t>
    <rPh sb="1" eb="3">
      <t>キョウツウ</t>
    </rPh>
    <rPh sb="3" eb="5">
      <t>カセツ</t>
    </rPh>
    <rPh sb="5" eb="6">
      <t>ヒ</t>
    </rPh>
    <rPh sb="7" eb="8">
      <t>ケイ</t>
    </rPh>
    <phoneticPr fontId="3"/>
  </si>
  <si>
    <t>材料費　計</t>
    <rPh sb="0" eb="3">
      <t>ザイリョウヒ</t>
    </rPh>
    <rPh sb="4" eb="5">
      <t>ケイ</t>
    </rPh>
    <phoneticPr fontId="3"/>
  </si>
  <si>
    <t>労務費　計</t>
    <rPh sb="0" eb="3">
      <t>ロウムヒ</t>
    </rPh>
    <rPh sb="4" eb="5">
      <t>ケイ</t>
    </rPh>
    <phoneticPr fontId="3"/>
  </si>
  <si>
    <t>一般管理費等　計</t>
    <rPh sb="0" eb="2">
      <t>イッパン</t>
    </rPh>
    <rPh sb="2" eb="5">
      <t>カンリヒ</t>
    </rPh>
    <rPh sb="5" eb="6">
      <t>トウ</t>
    </rPh>
    <rPh sb="7" eb="8">
      <t>ケイ</t>
    </rPh>
    <phoneticPr fontId="3"/>
  </si>
  <si>
    <t>設計技術費　計</t>
    <rPh sb="0" eb="2">
      <t>セッケイ</t>
    </rPh>
    <rPh sb="2" eb="5">
      <t>ギジュツヒ</t>
    </rPh>
    <rPh sb="6" eb="7">
      <t>ケイ</t>
    </rPh>
    <phoneticPr fontId="3"/>
  </si>
  <si>
    <t>機器費　計</t>
    <rPh sb="0" eb="3">
      <t>キキヒ</t>
    </rPh>
    <rPh sb="4" eb="5">
      <t>ケイ</t>
    </rPh>
    <phoneticPr fontId="3"/>
  </si>
  <si>
    <t>労務費　計</t>
    <rPh sb="0" eb="2">
      <t>ロウム</t>
    </rPh>
    <rPh sb="2" eb="3">
      <t>ヒ</t>
    </rPh>
    <rPh sb="4" eb="5">
      <t>ケイ</t>
    </rPh>
    <phoneticPr fontId="3"/>
  </si>
  <si>
    <t>(材料費+労務費+複合工費)</t>
    <rPh sb="1" eb="4">
      <t>ザイリョウヒ</t>
    </rPh>
    <rPh sb="5" eb="8">
      <t>ロウムヒ</t>
    </rPh>
    <rPh sb="9" eb="11">
      <t>フクゴウ</t>
    </rPh>
    <rPh sb="11" eb="12">
      <t>コウ</t>
    </rPh>
    <rPh sb="12" eb="13">
      <t>ヒ</t>
    </rPh>
    <phoneticPr fontId="3"/>
  </si>
  <si>
    <t>複合工費　計</t>
    <rPh sb="0" eb="2">
      <t>フクゴウ</t>
    </rPh>
    <rPh sb="2" eb="3">
      <t>コウ</t>
    </rPh>
    <rPh sb="3" eb="4">
      <t>ヒ</t>
    </rPh>
    <rPh sb="5" eb="6">
      <t>ケイ</t>
    </rPh>
    <phoneticPr fontId="3"/>
  </si>
  <si>
    <t>　機器間接費　計</t>
    <rPh sb="1" eb="3">
      <t>キキ</t>
    </rPh>
    <rPh sb="3" eb="5">
      <t>カンセツ</t>
    </rPh>
    <rPh sb="5" eb="6">
      <t>ヒ</t>
    </rPh>
    <rPh sb="7" eb="8">
      <t>ケイ</t>
    </rPh>
    <phoneticPr fontId="3"/>
  </si>
  <si>
    <t>（共通仮設費+現場管理費+機器間接費）</t>
    <rPh sb="13" eb="15">
      <t>キキ</t>
    </rPh>
    <rPh sb="15" eb="17">
      <t>カンセツ</t>
    </rPh>
    <phoneticPr fontId="3"/>
  </si>
  <si>
    <t>金　抜　き　設　計　書</t>
    <phoneticPr fontId="3"/>
  </si>
  <si>
    <t>参　考</t>
    <rPh sb="0" eb="1">
      <t>サン</t>
    </rPh>
    <rPh sb="2" eb="3">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</si>
</sst>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0\)"/>
    <numFmt numFmtId="177" formatCode="&quot;第 &quot;0&quot; 号&quot;"/>
    <numFmt numFmtId="178" formatCode="#,##0.0_);\(#,##0.0\)"/>
    <numFmt numFmtId="179" formatCode="#,##0.00_);\(#,##0.00\)"/>
    <numFmt numFmtId="180" formatCode="#,##0.000_);\(#,##0.000\)"/>
    <numFmt numFmtId="181" formatCode="#,##0;&quot;△ &quot;#,##0"/>
    <numFmt numFmtId="182" formatCode="#,##0.000_);[Red]\(#,##0.000\)"/>
    <numFmt numFmtId="183" formatCode="#,##0_ "/>
    <numFmt numFmtId="184" formatCode="0.00_ "/>
    <numFmt numFmtId="185" formatCode="0.00&quot;m&quot;"/>
    <numFmt numFmtId="186" formatCode="#,##0.00&quot;m&quot;"/>
    <numFmt numFmtId="187" formatCode="#,##0.00&quot;kW&quot;"/>
    <numFmt numFmtId="188" formatCode="0.00;&quot;△ &quot;0.00"/>
    <numFmt numFmtId="189" formatCode="0.00;&quot;▲ &quot;0.00"/>
    <numFmt numFmtId="190" formatCode="&quot;令和 &quot;0&quot; 年度&quot;"/>
    <numFmt numFmtId="191" formatCode="#,##0.0000_);\(#,##0.0000\)"/>
    <numFmt numFmtId="192" formatCode="0.0000"/>
    <numFmt numFmtId="193" formatCode="#,##0_);[Red]\(#,##0\)"/>
    <numFmt numFmtId="194" formatCode="#,##0;[Red]#,##0"/>
  </numFmts>
  <fonts count="62">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1"/>
      <color rgb="FFFF0000"/>
      <name val="游ゴシック"/>
      <family val="3"/>
      <charset val="128"/>
      <scheme val="minor"/>
    </font>
    <font>
      <sz val="7"/>
      <color theme="1"/>
      <name val="游ゴシック"/>
      <family val="3"/>
      <charset val="128"/>
      <scheme val="minor"/>
    </font>
    <font>
      <u/>
      <sz val="11"/>
      <color indexed="12"/>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游ゴシック"/>
      <family val="3"/>
      <charset val="128"/>
      <scheme val="minor"/>
    </font>
    <font>
      <sz val="11"/>
      <name val="游ゴシック"/>
      <family val="3"/>
      <charset val="128"/>
      <scheme val="minor"/>
    </font>
    <font>
      <sz val="16"/>
      <name val="游ゴシック"/>
      <family val="3"/>
      <charset val="128"/>
      <scheme val="minor"/>
    </font>
    <font>
      <sz val="9"/>
      <name val="游ゴシック"/>
      <family val="3"/>
      <charset val="128"/>
      <scheme val="minor"/>
    </font>
    <font>
      <sz val="9"/>
      <color rgb="FFFF0000"/>
      <name val="游ゴシック"/>
      <family val="3"/>
      <charset val="128"/>
      <scheme val="minor"/>
    </font>
    <font>
      <sz val="8"/>
      <name val="游ゴシック"/>
      <family val="3"/>
      <charset val="128"/>
      <scheme val="minor"/>
    </font>
    <font>
      <sz val="6"/>
      <name val="游ゴシック"/>
      <family val="3"/>
      <charset val="128"/>
      <scheme val="minor"/>
    </font>
    <font>
      <sz val="9"/>
      <color indexed="12"/>
      <name val="游ゴシック"/>
      <family val="3"/>
      <charset val="128"/>
      <scheme val="minor"/>
    </font>
    <font>
      <sz val="11"/>
      <color indexed="12"/>
      <name val="游ゴシック"/>
      <family val="3"/>
      <charset val="128"/>
      <scheme val="minor"/>
    </font>
    <font>
      <sz val="11"/>
      <color indexed="10"/>
      <name val="游ゴシック"/>
      <family val="3"/>
      <charset val="128"/>
      <scheme val="minor"/>
    </font>
    <font>
      <u/>
      <sz val="9"/>
      <color indexed="12"/>
      <name val="游ゴシック"/>
      <family val="3"/>
      <charset val="128"/>
      <scheme val="minor"/>
    </font>
    <font>
      <sz val="8"/>
      <color indexed="9"/>
      <name val="游ゴシック"/>
      <family val="3"/>
      <charset val="128"/>
      <scheme val="minor"/>
    </font>
    <font>
      <sz val="8"/>
      <color rgb="FFFF0000"/>
      <name val="游ゴシック"/>
      <family val="3"/>
      <charset val="128"/>
      <scheme val="minor"/>
    </font>
    <font>
      <sz val="8"/>
      <color indexed="12"/>
      <name val="游ゴシック"/>
      <family val="3"/>
      <charset val="128"/>
      <scheme val="minor"/>
    </font>
    <font>
      <sz val="11"/>
      <color rgb="FF0070C0"/>
      <name val="游ゴシック"/>
      <family val="2"/>
      <charset val="128"/>
      <scheme val="minor"/>
    </font>
    <font>
      <sz val="11"/>
      <color rgb="FF0070C0"/>
      <name val="游ゴシック"/>
      <family val="3"/>
      <charset val="128"/>
      <scheme val="minor"/>
    </font>
    <font>
      <b/>
      <sz val="11"/>
      <color theme="1"/>
      <name val="游ゴシック"/>
      <family val="3"/>
      <charset val="128"/>
      <scheme val="minor"/>
    </font>
    <font>
      <sz val="16"/>
      <name val="游ゴシック"/>
      <family val="2"/>
      <charset val="128"/>
      <scheme val="minor"/>
    </font>
    <font>
      <b/>
      <u/>
      <sz val="8"/>
      <color theme="1"/>
      <name val="游ゴシック"/>
      <family val="3"/>
      <charset val="128"/>
      <scheme val="minor"/>
    </font>
    <font>
      <sz val="10"/>
      <color theme="1"/>
      <name val="游ゴシック"/>
      <family val="2"/>
      <charset val="128"/>
      <scheme val="minor"/>
    </font>
    <font>
      <sz val="10"/>
      <color rgb="FF0070C0"/>
      <name val="游ゴシック"/>
      <family val="2"/>
      <charset val="128"/>
      <scheme val="minor"/>
    </font>
    <font>
      <sz val="10"/>
      <color rgb="FFFF0000"/>
      <name val="游ゴシック"/>
      <family val="2"/>
      <charset val="128"/>
      <scheme val="minor"/>
    </font>
    <font>
      <sz val="9"/>
      <color indexed="81"/>
      <name val="MS P ゴシック"/>
      <family val="3"/>
      <charset val="128"/>
    </font>
    <font>
      <sz val="11"/>
      <name val="游ゴシック"/>
      <family val="2"/>
      <charset val="128"/>
      <scheme val="minor"/>
    </font>
    <font>
      <sz val="6"/>
      <color rgb="FFFF0000"/>
      <name val="游ゴシック"/>
      <family val="3"/>
      <charset val="128"/>
      <scheme val="minor"/>
    </font>
    <font>
      <b/>
      <u/>
      <sz val="16"/>
      <color indexed="12"/>
      <name val="ＭＳ ゴシック"/>
      <family val="3"/>
      <charset val="128"/>
    </font>
    <font>
      <b/>
      <sz val="16"/>
      <name val="ＭＳ ゴシック"/>
      <family val="3"/>
      <charset val="128"/>
    </font>
    <font>
      <sz val="11"/>
      <name val="ＭＳ ゴシック"/>
      <family val="3"/>
      <charset val="128"/>
    </font>
    <font>
      <sz val="14"/>
      <name val="ＭＳ ゴシック"/>
      <family val="3"/>
      <charset val="128"/>
    </font>
    <font>
      <sz val="8"/>
      <name val="ＭＳ ゴシック"/>
      <family val="3"/>
      <charset val="128"/>
    </font>
    <font>
      <sz val="11"/>
      <color rgb="FFFF0000"/>
      <name val="ＭＳ ゴシック"/>
      <family val="3"/>
      <charset val="128"/>
    </font>
    <font>
      <sz val="18"/>
      <name val="ＭＳ ゴシック"/>
      <family val="3"/>
      <charset val="128"/>
    </font>
    <font>
      <sz val="10"/>
      <name val="ＭＳ ゴシック"/>
      <family val="3"/>
      <charset val="128"/>
    </font>
    <font>
      <sz val="6"/>
      <name val="ＭＳ ゴシック"/>
      <family val="3"/>
      <charset val="128"/>
    </font>
    <font>
      <sz val="16"/>
      <name val="ＭＳ ゴシック"/>
      <family val="3"/>
      <charset val="128"/>
    </font>
    <font>
      <sz val="10"/>
      <color rgb="FFFF0000"/>
      <name val="ＭＳ Ｐゴシック"/>
      <family val="3"/>
      <charset val="128"/>
    </font>
    <font>
      <sz val="9"/>
      <color theme="0" tint="-0.14999847407452621"/>
      <name val="游ゴシック"/>
      <family val="3"/>
      <charset val="128"/>
      <scheme val="minor"/>
    </font>
    <font>
      <sz val="9"/>
      <name val="游ゴシック"/>
      <family val="2"/>
      <charset val="128"/>
      <scheme val="minor"/>
    </font>
    <font>
      <sz val="9"/>
      <color theme="0" tint="-0.249977111117893"/>
      <name val="游ゴシック"/>
      <family val="3"/>
      <charset val="128"/>
      <scheme val="minor"/>
    </font>
    <font>
      <sz val="11"/>
      <color theme="0" tint="-0.249977111117893"/>
      <name val="游ゴシック"/>
      <family val="3"/>
      <charset val="128"/>
      <scheme val="minor"/>
    </font>
    <font>
      <sz val="8"/>
      <color theme="0" tint="-0.249977111117893"/>
      <name val="游ゴシック"/>
      <family val="3"/>
      <charset val="128"/>
      <scheme val="minor"/>
    </font>
    <font>
      <sz val="10"/>
      <color rgb="FFFF0000"/>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rgb="FFCCFFFF"/>
        <bgColor indexed="64"/>
      </patternFill>
    </fill>
    <fill>
      <patternFill patternType="solid">
        <fgColor indexed="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style="thin">
        <color indexed="64"/>
      </right>
      <top style="dotted">
        <color indexed="64"/>
      </top>
      <bottom/>
      <diagonal/>
    </border>
    <border>
      <left/>
      <right/>
      <top/>
      <bottom style="mediumDashDotDot">
        <color indexed="64"/>
      </bottom>
      <diagonal/>
    </border>
    <border>
      <left style="thick">
        <color indexed="64"/>
      </left>
      <right/>
      <top/>
      <bottom/>
      <diagonal/>
    </border>
    <border>
      <left style="mediumDashDot">
        <color rgb="FFFF0000"/>
      </left>
      <right/>
      <top/>
      <bottom/>
      <diagonal/>
    </border>
    <border>
      <left style="mediumDashDot">
        <color rgb="FFFF0000"/>
      </left>
      <right/>
      <top style="thin">
        <color indexed="64"/>
      </top>
      <bottom style="thin">
        <color indexed="64"/>
      </bottom>
      <diagonal/>
    </border>
    <border>
      <left style="mediumDashDot">
        <color rgb="FFFF0000"/>
      </left>
      <right style="thin">
        <color indexed="64"/>
      </right>
      <top/>
      <bottom/>
      <diagonal/>
    </border>
    <border>
      <left style="mediumDashDot">
        <color rgb="FFFF0000"/>
      </left>
      <right style="thin">
        <color indexed="64"/>
      </right>
      <top/>
      <bottom style="thin">
        <color indexed="64"/>
      </bottom>
      <diagonal/>
    </border>
    <border>
      <left style="mediumDashDot">
        <color rgb="FFFF0000"/>
      </left>
      <right/>
      <top style="dotted">
        <color indexed="64"/>
      </top>
      <bottom/>
      <diagonal/>
    </border>
    <border>
      <left style="thin">
        <color indexed="64"/>
      </left>
      <right/>
      <top/>
      <bottom style="dotted">
        <color indexed="64"/>
      </bottom>
      <diagonal/>
    </border>
    <border>
      <left style="mediumDashDot">
        <color indexed="10"/>
      </left>
      <right style="thin">
        <color indexed="64"/>
      </right>
      <top style="thin">
        <color indexed="64"/>
      </top>
      <bottom/>
      <diagonal/>
    </border>
    <border>
      <left style="mediumDashDot">
        <color indexed="10"/>
      </left>
      <right style="thin">
        <color indexed="64"/>
      </right>
      <top/>
      <bottom/>
      <diagonal/>
    </border>
    <border>
      <left style="mediumDashDot">
        <color indexed="10"/>
      </left>
      <right style="thin">
        <color indexed="64"/>
      </right>
      <top/>
      <bottom style="thin">
        <color indexed="64"/>
      </bottom>
      <diagonal/>
    </border>
    <border>
      <left style="mediumDashDot">
        <color indexed="10"/>
      </left>
      <right/>
      <top style="thin">
        <color indexed="64"/>
      </top>
      <bottom style="thin">
        <color indexed="64"/>
      </bottom>
      <diagonal/>
    </border>
    <border>
      <left style="thin">
        <color indexed="64"/>
      </left>
      <right/>
      <top/>
      <bottom style="mediumDashDotDot">
        <color indexed="64"/>
      </bottom>
      <diagonal/>
    </border>
    <border>
      <left/>
      <right/>
      <top style="thin">
        <color indexed="64"/>
      </top>
      <bottom style="mediumDashDotDot">
        <color indexed="64"/>
      </bottom>
      <diagonal/>
    </border>
    <border>
      <left style="mediumDashDot">
        <color indexed="10"/>
      </left>
      <right style="thin">
        <color indexed="64"/>
      </right>
      <top/>
      <bottom style="mediumDashDotDot">
        <color indexed="64"/>
      </bottom>
      <diagonal/>
    </border>
    <border>
      <left style="mediumDashDot">
        <color indexed="10"/>
      </left>
      <right/>
      <top/>
      <bottom/>
      <diagonal/>
    </border>
    <border>
      <left style="mediumDashDot">
        <color indexed="10"/>
      </left>
      <right/>
      <top/>
      <bottom style="thin">
        <color indexed="64"/>
      </bottom>
      <diagonal/>
    </border>
    <border diagonalDown="1">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bottom style="mediumDashDotDot">
        <color indexed="64"/>
      </bottom>
      <diagonal/>
    </border>
    <border diagonalDown="1">
      <left/>
      <right/>
      <top style="thin">
        <color indexed="64"/>
      </top>
      <bottom style="mediumDashDotDot">
        <color indexed="64"/>
      </bottom>
      <diagonal style="thin">
        <color indexed="64"/>
      </diagonal>
    </border>
    <border diagonalUp="1">
      <left/>
      <right/>
      <top style="thin">
        <color indexed="64"/>
      </top>
      <bottom style="mediumDashDotDot">
        <color indexed="64"/>
      </bottom>
      <diagonal style="thin">
        <color indexed="64"/>
      </diagonal>
    </border>
    <border>
      <left/>
      <right/>
      <top style="mediumDashDotDot">
        <color indexed="64"/>
      </top>
      <bottom/>
      <diagonal/>
    </border>
    <border>
      <left style="thin">
        <color indexed="64"/>
      </left>
      <right/>
      <top style="mediumDashDotDot">
        <color indexed="64"/>
      </top>
      <bottom/>
      <diagonal/>
    </border>
    <border>
      <left style="mediumDashDot">
        <color indexed="10"/>
      </left>
      <right style="thin">
        <color indexed="64"/>
      </right>
      <top style="mediumDashDotDot">
        <color indexed="64"/>
      </top>
      <bottom/>
      <diagonal/>
    </border>
    <border>
      <left/>
      <right/>
      <top/>
      <bottom style="mediumDashDot">
        <color auto="1"/>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diagonalUp="1">
      <left/>
      <right/>
      <top/>
      <bottom style="thin">
        <color indexed="64"/>
      </bottom>
      <diagonal style="thin">
        <color indexed="64"/>
      </diagonal>
    </border>
    <border>
      <left/>
      <right/>
      <top style="hair">
        <color auto="1"/>
      </top>
      <bottom/>
      <diagonal/>
    </border>
  </borders>
  <cellStyleXfs count="8">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17" fillId="0" borderId="0"/>
    <xf numFmtId="0" fontId="17" fillId="0" borderId="0">
      <alignment vertical="center"/>
    </xf>
    <xf numFmtId="0" fontId="1" fillId="0" borderId="0">
      <alignment vertical="center"/>
    </xf>
    <xf numFmtId="0" fontId="17" fillId="0" borderId="0"/>
    <xf numFmtId="38" fontId="17" fillId="0" borderId="0" applyFont="0" applyFill="0" applyBorder="0" applyAlignment="0" applyProtection="0"/>
  </cellStyleXfs>
  <cellXfs count="804">
    <xf numFmtId="0" fontId="0" fillId="0" borderId="0" xfId="0">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176" fontId="0" fillId="0" borderId="4" xfId="0" applyNumberFormat="1" applyBorder="1">
      <alignment vertical="center"/>
    </xf>
    <xf numFmtId="176" fontId="0" fillId="0" borderId="3" xfId="0" applyNumberFormat="1" applyBorder="1">
      <alignment vertical="center"/>
    </xf>
    <xf numFmtId="0" fontId="4" fillId="0" borderId="3"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3" xfId="0" applyFont="1" applyBorder="1">
      <alignment vertical="center"/>
    </xf>
    <xf numFmtId="0" fontId="8" fillId="0" borderId="4" xfId="0" applyFont="1" applyBorder="1">
      <alignment vertical="center"/>
    </xf>
    <xf numFmtId="176" fontId="8" fillId="0" borderId="4" xfId="0" applyNumberFormat="1" applyFont="1" applyBorder="1">
      <alignment vertical="center"/>
    </xf>
    <xf numFmtId="0" fontId="8" fillId="0" borderId="3" xfId="0" applyFont="1" applyBorder="1">
      <alignment vertical="center"/>
    </xf>
    <xf numFmtId="176" fontId="8" fillId="0" borderId="3" xfId="0" applyNumberFormat="1" applyFont="1" applyBorder="1">
      <alignment vertical="center"/>
    </xf>
    <xf numFmtId="0" fontId="8" fillId="0" borderId="5" xfId="0" applyFont="1" applyBorder="1">
      <alignment vertical="center"/>
    </xf>
    <xf numFmtId="176" fontId="8" fillId="0" borderId="5" xfId="0" applyNumberFormat="1" applyFont="1" applyBorder="1">
      <alignment vertical="center"/>
    </xf>
    <xf numFmtId="0" fontId="0" fillId="0" borderId="6"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8" fillId="0" borderId="13" xfId="0" applyFont="1" applyBorder="1">
      <alignment vertical="center"/>
    </xf>
    <xf numFmtId="176" fontId="8" fillId="0" borderId="13" xfId="0" applyNumberFormat="1" applyFont="1" applyBorder="1">
      <alignment vertical="center"/>
    </xf>
    <xf numFmtId="0" fontId="5" fillId="0" borderId="11"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lignment vertical="center"/>
    </xf>
    <xf numFmtId="176" fontId="8" fillId="0" borderId="14" xfId="0" applyNumberFormat="1" applyFont="1" applyBorder="1">
      <alignment vertical="center"/>
    </xf>
    <xf numFmtId="178" fontId="8" fillId="0" borderId="3" xfId="0" applyNumberFormat="1" applyFont="1" applyBorder="1">
      <alignment vertical="center"/>
    </xf>
    <xf numFmtId="178" fontId="8" fillId="0" borderId="4" xfId="0" applyNumberFormat="1" applyFont="1" applyBorder="1">
      <alignment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4" xfId="0" applyFont="1" applyBorder="1" applyAlignment="1">
      <alignment horizontal="center" vertical="center"/>
    </xf>
    <xf numFmtId="176" fontId="8" fillId="0" borderId="15" xfId="0" applyNumberFormat="1" applyFont="1" applyBorder="1">
      <alignment vertical="center"/>
    </xf>
    <xf numFmtId="176" fontId="8" fillId="0" borderId="16" xfId="0" applyNumberFormat="1" applyFont="1" applyBorder="1">
      <alignment vertical="center"/>
    </xf>
    <xf numFmtId="176" fontId="0" fillId="0" borderId="0" xfId="0" applyNumberFormat="1">
      <alignment vertical="center"/>
    </xf>
    <xf numFmtId="179" fontId="8" fillId="0" borderId="13" xfId="0" applyNumberFormat="1" applyFont="1" applyBorder="1">
      <alignment vertical="center"/>
    </xf>
    <xf numFmtId="179" fontId="8" fillId="0" borderId="3" xfId="0" applyNumberFormat="1" applyFont="1" applyBorder="1">
      <alignment vertical="center"/>
    </xf>
    <xf numFmtId="179" fontId="8" fillId="0" borderId="4" xfId="0" applyNumberFormat="1" applyFont="1" applyBorder="1">
      <alignment vertical="center"/>
    </xf>
    <xf numFmtId="180" fontId="8" fillId="0" borderId="13" xfId="0" applyNumberFormat="1" applyFont="1" applyBorder="1">
      <alignment vertical="center"/>
    </xf>
    <xf numFmtId="180" fontId="8" fillId="0" borderId="3" xfId="0" applyNumberFormat="1" applyFont="1" applyBorder="1">
      <alignment vertical="center"/>
    </xf>
    <xf numFmtId="180" fontId="8" fillId="0" borderId="4" xfId="0" applyNumberFormat="1" applyFont="1" applyBorder="1">
      <alignment vertical="center"/>
    </xf>
    <xf numFmtId="0" fontId="8" fillId="0" borderId="13" xfId="0" applyFont="1" applyBorder="1" applyAlignment="1">
      <alignment vertical="center"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8" fillId="0" borderId="14" xfId="0" applyFont="1" applyBorder="1" applyAlignment="1">
      <alignment vertical="center" shrinkToFit="1"/>
    </xf>
    <xf numFmtId="179" fontId="8" fillId="0" borderId="14" xfId="0" applyNumberFormat="1" applyFont="1" applyBorder="1">
      <alignment vertical="center"/>
    </xf>
    <xf numFmtId="0" fontId="5" fillId="0" borderId="2" xfId="0" applyFont="1" applyBorder="1" applyAlignment="1">
      <alignment horizontal="center" vertical="center"/>
    </xf>
    <xf numFmtId="0" fontId="8" fillId="0" borderId="2" xfId="0" applyFont="1" applyBorder="1" applyAlignment="1">
      <alignment horizontal="center" vertical="center"/>
    </xf>
    <xf numFmtId="0" fontId="0" fillId="0" borderId="0" xfId="0" applyAlignment="1">
      <alignment horizontal="center" vertical="center"/>
    </xf>
    <xf numFmtId="0" fontId="0" fillId="0" borderId="13" xfId="0" applyBorder="1">
      <alignment vertical="center"/>
    </xf>
    <xf numFmtId="0" fontId="9" fillId="0" borderId="14" xfId="0" applyFont="1" applyBorder="1" applyAlignment="1">
      <alignment horizontal="center" vertical="center"/>
    </xf>
    <xf numFmtId="0" fontId="5" fillId="0" borderId="13" xfId="0" applyFont="1" applyBorder="1">
      <alignment vertical="center"/>
    </xf>
    <xf numFmtId="179" fontId="5" fillId="0" borderId="13" xfId="0" applyNumberFormat="1" applyFont="1" applyBorder="1">
      <alignment vertical="center"/>
    </xf>
    <xf numFmtId="179" fontId="5" fillId="0" borderId="3" xfId="0" applyNumberFormat="1" applyFont="1" applyBorder="1">
      <alignment vertical="center"/>
    </xf>
    <xf numFmtId="179" fontId="5" fillId="0" borderId="16" xfId="0" applyNumberFormat="1" applyFont="1" applyBorder="1">
      <alignment vertical="center"/>
    </xf>
    <xf numFmtId="180" fontId="5" fillId="0" borderId="13" xfId="0" applyNumberFormat="1" applyFont="1" applyBorder="1">
      <alignment vertical="center"/>
    </xf>
    <xf numFmtId="180" fontId="5" fillId="0" borderId="3" xfId="0" applyNumberFormat="1" applyFont="1" applyBorder="1">
      <alignment vertical="center"/>
    </xf>
    <xf numFmtId="180" fontId="5" fillId="0" borderId="16" xfId="0" applyNumberFormat="1" applyFont="1" applyBorder="1">
      <alignment vertical="center"/>
    </xf>
    <xf numFmtId="0" fontId="4" fillId="0" borderId="0" xfId="0" applyFont="1">
      <alignment vertical="center"/>
    </xf>
    <xf numFmtId="179" fontId="8" fillId="0" borderId="5" xfId="0" applyNumberFormat="1" applyFont="1" applyBorder="1">
      <alignment vertical="center"/>
    </xf>
    <xf numFmtId="179" fontId="8" fillId="0" borderId="0" xfId="0" applyNumberFormat="1" applyFont="1">
      <alignment vertical="center"/>
    </xf>
    <xf numFmtId="179" fontId="8" fillId="0" borderId="9" xfId="0" applyNumberFormat="1" applyFont="1" applyBorder="1">
      <alignment vertical="center"/>
    </xf>
    <xf numFmtId="179" fontId="5" fillId="0" borderId="12" xfId="0" applyNumberFormat="1" applyFont="1" applyBorder="1">
      <alignment vertical="center"/>
    </xf>
    <xf numFmtId="180" fontId="5" fillId="0" borderId="12" xfId="0" applyNumberFormat="1" applyFont="1" applyBorder="1">
      <alignment vertical="center"/>
    </xf>
    <xf numFmtId="0" fontId="9" fillId="0" borderId="14" xfId="0" applyFont="1" applyBorder="1" applyAlignment="1">
      <alignment horizontal="center" vertical="center" shrinkToFit="1"/>
    </xf>
    <xf numFmtId="179" fontId="5" fillId="0" borderId="26" xfId="0" applyNumberFormat="1" applyFont="1" applyBorder="1">
      <alignment vertical="center"/>
    </xf>
    <xf numFmtId="179" fontId="5" fillId="0" borderId="10" xfId="0" applyNumberFormat="1" applyFont="1" applyBorder="1">
      <alignment vertical="center"/>
    </xf>
    <xf numFmtId="0" fontId="4" fillId="0" borderId="6" xfId="0" applyFont="1" applyBorder="1">
      <alignment vertical="center"/>
    </xf>
    <xf numFmtId="179" fontId="9" fillId="0" borderId="5" xfId="0" applyNumberFormat="1"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20" xfId="0" applyFont="1" applyBorder="1">
      <alignment vertical="center"/>
    </xf>
    <xf numFmtId="179" fontId="9" fillId="0" borderId="0" xfId="0" applyNumberFormat="1" applyFont="1">
      <alignment vertical="center"/>
    </xf>
    <xf numFmtId="0" fontId="9" fillId="0" borderId="0" xfId="0" applyFont="1">
      <alignment vertical="center"/>
    </xf>
    <xf numFmtId="0" fontId="9" fillId="0" borderId="21" xfId="0" applyFont="1" applyBorder="1">
      <alignment vertical="center"/>
    </xf>
    <xf numFmtId="0" fontId="9" fillId="0" borderId="22" xfId="0" applyFont="1" applyBorder="1">
      <alignment vertical="center"/>
    </xf>
    <xf numFmtId="179" fontId="9" fillId="0" borderId="23" xfId="0" applyNumberFormat="1" applyFont="1" applyBorder="1">
      <alignment vertical="center"/>
    </xf>
    <xf numFmtId="0" fontId="9" fillId="0" borderId="23" xfId="0" applyFont="1" applyBorder="1">
      <alignment vertical="center"/>
    </xf>
    <xf numFmtId="0" fontId="9" fillId="0" borderId="24" xfId="0" applyFont="1" applyBorder="1">
      <alignment vertical="center"/>
    </xf>
    <xf numFmtId="0" fontId="4" fillId="0" borderId="0" xfId="0" applyFont="1" applyAlignment="1">
      <alignment horizontal="right" vertical="center"/>
    </xf>
    <xf numFmtId="0" fontId="0" fillId="0" borderId="0" xfId="0" applyAlignment="1">
      <alignment horizontal="right" vertical="center"/>
    </xf>
    <xf numFmtId="0" fontId="9" fillId="0" borderId="0" xfId="0" applyFont="1" applyAlignment="1">
      <alignment horizontal="right" vertical="center"/>
    </xf>
    <xf numFmtId="180" fontId="4" fillId="0" borderId="0" xfId="0" applyNumberFormat="1" applyFont="1">
      <alignment vertical="center"/>
    </xf>
    <xf numFmtId="0" fontId="0" fillId="0" borderId="23" xfId="0" applyBorder="1">
      <alignment vertical="center"/>
    </xf>
    <xf numFmtId="182" fontId="8" fillId="0" borderId="13" xfId="0" applyNumberFormat="1" applyFont="1" applyBorder="1">
      <alignment vertical="center"/>
    </xf>
    <xf numFmtId="182" fontId="8" fillId="0" borderId="3" xfId="0" applyNumberFormat="1" applyFont="1" applyBorder="1">
      <alignment vertical="center"/>
    </xf>
    <xf numFmtId="182" fontId="8" fillId="0" borderId="4" xfId="0" applyNumberFormat="1" applyFont="1" applyBorder="1">
      <alignment vertical="center"/>
    </xf>
    <xf numFmtId="182" fontId="8" fillId="0" borderId="16" xfId="0" applyNumberFormat="1" applyFont="1" applyBorder="1">
      <alignment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179" fontId="8" fillId="0" borderId="16" xfId="0" applyNumberFormat="1" applyFont="1" applyBorder="1">
      <alignment vertical="center"/>
    </xf>
    <xf numFmtId="0" fontId="8" fillId="0" borderId="5" xfId="0" applyFont="1" applyBorder="1" applyAlignment="1">
      <alignment horizontal="center" vertical="center"/>
    </xf>
    <xf numFmtId="0" fontId="8" fillId="0" borderId="7" xfId="0" applyFont="1" applyBorder="1" applyAlignment="1">
      <alignment vertical="center" shrinkToFit="1"/>
    </xf>
    <xf numFmtId="0" fontId="8" fillId="0" borderId="0" xfId="0" applyFont="1" applyAlignment="1">
      <alignment horizontal="center" vertical="center"/>
    </xf>
    <xf numFmtId="0" fontId="8" fillId="0" borderId="21" xfId="0" applyFont="1" applyBorder="1" applyAlignment="1">
      <alignment vertical="center" shrinkToFit="1"/>
    </xf>
    <xf numFmtId="0" fontId="8" fillId="0" borderId="0" xfId="0" applyFont="1">
      <alignment vertical="center"/>
    </xf>
    <xf numFmtId="0" fontId="8" fillId="0" borderId="21" xfId="0" applyFont="1" applyBorder="1">
      <alignment vertical="center"/>
    </xf>
    <xf numFmtId="0" fontId="8" fillId="0" borderId="9" xfId="0" applyFont="1" applyBorder="1">
      <alignment vertical="center"/>
    </xf>
    <xf numFmtId="0" fontId="8" fillId="0" borderId="10" xfId="0" applyFont="1" applyBorder="1">
      <alignment vertical="center"/>
    </xf>
    <xf numFmtId="49" fontId="8" fillId="0" borderId="13" xfId="0" applyNumberFormat="1" applyFont="1" applyBorder="1">
      <alignment vertical="center"/>
    </xf>
    <xf numFmtId="49" fontId="8" fillId="0" borderId="16" xfId="0" applyNumberFormat="1" applyFont="1" applyBorder="1">
      <alignment vertical="center"/>
    </xf>
    <xf numFmtId="0" fontId="4" fillId="0" borderId="10" xfId="0" applyFont="1" applyBorder="1" applyAlignment="1">
      <alignment horizontal="right" vertical="center"/>
    </xf>
    <xf numFmtId="176" fontId="0" fillId="2" borderId="4" xfId="0" applyNumberFormat="1" applyFill="1" applyBorder="1">
      <alignment vertical="center"/>
    </xf>
    <xf numFmtId="0" fontId="0" fillId="0" borderId="4" xfId="0" applyBorder="1" applyAlignment="1">
      <alignment horizontal="center" vertical="center"/>
    </xf>
    <xf numFmtId="176" fontId="0" fillId="0" borderId="2" xfId="0" applyNumberFormat="1" applyBorder="1">
      <alignment vertical="center"/>
    </xf>
    <xf numFmtId="176" fontId="4" fillId="0" borderId="0" xfId="0" applyNumberFormat="1" applyFont="1" applyAlignment="1">
      <alignment vertical="center" shrinkToFit="1"/>
    </xf>
    <xf numFmtId="176" fontId="0" fillId="2" borderId="3" xfId="0" applyNumberFormat="1" applyFill="1" applyBorder="1">
      <alignment vertical="center"/>
    </xf>
    <xf numFmtId="0" fontId="0" fillId="0" borderId="3" xfId="0" applyBorder="1" applyAlignment="1">
      <alignment horizontal="center" vertical="center"/>
    </xf>
    <xf numFmtId="176" fontId="0" fillId="0" borderId="16" xfId="0" applyNumberFormat="1" applyBorder="1">
      <alignment vertical="center"/>
    </xf>
    <xf numFmtId="0" fontId="0" fillId="0" borderId="0" xfId="0" applyAlignment="1">
      <alignment vertical="center" shrinkToFit="1"/>
    </xf>
    <xf numFmtId="176" fontId="5" fillId="0" borderId="0" xfId="0" applyNumberFormat="1" applyFont="1" applyAlignment="1">
      <alignment vertical="center" shrinkToFit="1"/>
    </xf>
    <xf numFmtId="176" fontId="5" fillId="0" borderId="0" xfId="0" applyNumberFormat="1" applyFont="1">
      <alignment vertical="center"/>
    </xf>
    <xf numFmtId="179" fontId="0" fillId="0" borderId="4" xfId="0" applyNumberFormat="1" applyBorder="1">
      <alignment vertical="center"/>
    </xf>
    <xf numFmtId="179" fontId="0" fillId="0" borderId="3" xfId="0" applyNumberFormat="1" applyBorder="1">
      <alignment vertical="center"/>
    </xf>
    <xf numFmtId="0" fontId="5" fillId="0" borderId="3" xfId="0" applyFont="1" applyBorder="1" applyAlignment="1">
      <alignment vertical="center" shrinkToFit="1"/>
    </xf>
    <xf numFmtId="38" fontId="5" fillId="0" borderId="0" xfId="1" applyFont="1">
      <alignment vertical="center"/>
    </xf>
    <xf numFmtId="0" fontId="5" fillId="0" borderId="16" xfId="0" applyFont="1" applyBorder="1">
      <alignment vertical="center"/>
    </xf>
    <xf numFmtId="0" fontId="0" fillId="0" borderId="20" xfId="0" applyBorder="1">
      <alignment vertical="center"/>
    </xf>
    <xf numFmtId="0" fontId="4" fillId="0" borderId="21" xfId="0" applyFont="1" applyBorder="1" applyAlignment="1">
      <alignment horizontal="right" vertical="center"/>
    </xf>
    <xf numFmtId="0" fontId="0" fillId="0" borderId="21" xfId="0" applyBorder="1">
      <alignment vertical="center"/>
    </xf>
    <xf numFmtId="2" fontId="0" fillId="0" borderId="0" xfId="0" applyNumberFormat="1">
      <alignment vertical="center"/>
    </xf>
    <xf numFmtId="0" fontId="2" fillId="0" borderId="0" xfId="0" applyFont="1">
      <alignment vertical="center"/>
    </xf>
    <xf numFmtId="179" fontId="0" fillId="0" borderId="0" xfId="0" applyNumberFormat="1">
      <alignment vertical="center"/>
    </xf>
    <xf numFmtId="0" fontId="14" fillId="0" borderId="0" xfId="0" applyFont="1">
      <alignment vertical="center"/>
    </xf>
    <xf numFmtId="184" fontId="0" fillId="0" borderId="0" xfId="0" applyNumberFormat="1">
      <alignment vertical="center"/>
    </xf>
    <xf numFmtId="183" fontId="0" fillId="0" borderId="4" xfId="0" applyNumberFormat="1" applyBorder="1">
      <alignment vertical="center"/>
    </xf>
    <xf numFmtId="183" fontId="0" fillId="0" borderId="3" xfId="0" applyNumberFormat="1" applyBorder="1">
      <alignment vertical="center"/>
    </xf>
    <xf numFmtId="176" fontId="0" fillId="0" borderId="13" xfId="0" applyNumberFormat="1" applyBorder="1">
      <alignment vertical="center"/>
    </xf>
    <xf numFmtId="0" fontId="0" fillId="0" borderId="12" xfId="0" applyBorder="1">
      <alignment vertical="center"/>
    </xf>
    <xf numFmtId="0" fontId="0" fillId="0" borderId="2" xfId="0" applyBorder="1" applyAlignment="1">
      <alignment horizontal="right" vertical="center"/>
    </xf>
    <xf numFmtId="180" fontId="8" fillId="0" borderId="14" xfId="0" applyNumberFormat="1" applyFont="1" applyBorder="1">
      <alignment vertical="center"/>
    </xf>
    <xf numFmtId="180" fontId="8" fillId="0" borderId="2" xfId="0" applyNumberFormat="1" applyFont="1" applyBorder="1">
      <alignment vertical="center"/>
    </xf>
    <xf numFmtId="180" fontId="8" fillId="0" borderId="15" xfId="0" applyNumberFormat="1" applyFont="1" applyBorder="1">
      <alignment vertical="center"/>
    </xf>
    <xf numFmtId="0" fontId="9" fillId="0" borderId="2" xfId="0" applyFont="1" applyBorder="1" applyAlignment="1">
      <alignment horizontal="center" vertical="center" shrinkToFit="1"/>
    </xf>
    <xf numFmtId="179" fontId="9" fillId="0" borderId="13" xfId="0" applyNumberFormat="1" applyFont="1" applyBorder="1">
      <alignment vertical="center"/>
    </xf>
    <xf numFmtId="180" fontId="9" fillId="0" borderId="13" xfId="0" applyNumberFormat="1" applyFont="1" applyBorder="1">
      <alignment vertical="center"/>
    </xf>
    <xf numFmtId="179" fontId="9" fillId="0" borderId="3" xfId="0" applyNumberFormat="1" applyFont="1" applyBorder="1">
      <alignment vertical="center"/>
    </xf>
    <xf numFmtId="179" fontId="9" fillId="0" borderId="16" xfId="0" applyNumberFormat="1" applyFont="1" applyBorder="1">
      <alignment vertical="center"/>
    </xf>
    <xf numFmtId="0" fontId="15" fillId="0" borderId="14" xfId="0" applyFont="1" applyBorder="1" applyAlignment="1">
      <alignment horizontal="center" vertical="center" shrinkToFit="1"/>
    </xf>
    <xf numFmtId="182" fontId="15" fillId="0" borderId="13" xfId="0" applyNumberFormat="1" applyFont="1" applyBorder="1">
      <alignment vertical="center"/>
    </xf>
    <xf numFmtId="182" fontId="15" fillId="0" borderId="12" xfId="0" applyNumberFormat="1" applyFont="1" applyBorder="1">
      <alignment vertical="center"/>
    </xf>
    <xf numFmtId="182" fontId="15" fillId="0" borderId="4" xfId="0" applyNumberFormat="1" applyFont="1" applyBorder="1">
      <alignment vertical="center"/>
    </xf>
    <xf numFmtId="182" fontId="15" fillId="0" borderId="3" xfId="0" applyNumberFormat="1" applyFont="1" applyBorder="1">
      <alignment vertical="center"/>
    </xf>
    <xf numFmtId="180" fontId="9" fillId="0" borderId="4" xfId="0" applyNumberFormat="1" applyFont="1" applyBorder="1">
      <alignment vertical="center"/>
    </xf>
    <xf numFmtId="180" fontId="9" fillId="0" borderId="3" xfId="0" applyNumberFormat="1" applyFont="1" applyBorder="1">
      <alignment vertical="center"/>
    </xf>
    <xf numFmtId="0" fontId="9" fillId="0" borderId="11" xfId="0" applyFont="1" applyBorder="1" applyAlignment="1">
      <alignment horizontal="center" vertical="center" shrinkToFit="1"/>
    </xf>
    <xf numFmtId="0" fontId="15" fillId="0" borderId="11" xfId="0" applyFont="1" applyBorder="1" applyAlignment="1">
      <alignment horizontal="center" vertical="center" shrinkToFit="1"/>
    </xf>
    <xf numFmtId="180" fontId="9" fillId="0" borderId="12" xfId="0" applyNumberFormat="1" applyFont="1" applyBorder="1">
      <alignment vertical="center"/>
    </xf>
    <xf numFmtId="179" fontId="5" fillId="0" borderId="27" xfId="0" applyNumberFormat="1" applyFont="1" applyBorder="1">
      <alignment vertical="center"/>
    </xf>
    <xf numFmtId="179" fontId="5" fillId="0" borderId="9" xfId="0" applyNumberFormat="1" applyFont="1" applyBorder="1">
      <alignment vertical="center"/>
    </xf>
    <xf numFmtId="180" fontId="5" fillId="0" borderId="27" xfId="0" applyNumberFormat="1" applyFont="1" applyBorder="1">
      <alignment vertical="center"/>
    </xf>
    <xf numFmtId="180" fontId="5" fillId="0" borderId="26" xfId="0" applyNumberFormat="1" applyFont="1" applyBorder="1">
      <alignment vertical="center"/>
    </xf>
    <xf numFmtId="180" fontId="5" fillId="0" borderId="9" xfId="0" applyNumberFormat="1" applyFont="1" applyBorder="1">
      <alignment vertical="center"/>
    </xf>
    <xf numFmtId="180" fontId="5" fillId="0" borderId="10" xfId="0" applyNumberFormat="1" applyFont="1" applyBorder="1">
      <alignment vertical="center"/>
    </xf>
    <xf numFmtId="0" fontId="8" fillId="0" borderId="2" xfId="0" applyFont="1" applyBorder="1">
      <alignment vertical="center"/>
    </xf>
    <xf numFmtId="0" fontId="9" fillId="0" borderId="2" xfId="0" applyFont="1" applyBorder="1">
      <alignment vertical="center"/>
    </xf>
    <xf numFmtId="0" fontId="9" fillId="0" borderId="3" xfId="0" applyFont="1" applyBorder="1">
      <alignment vertical="center"/>
    </xf>
    <xf numFmtId="0" fontId="0" fillId="0" borderId="1" xfId="0" applyBorder="1" applyAlignment="1">
      <alignment horizontal="center" vertical="center"/>
    </xf>
    <xf numFmtId="0" fontId="5" fillId="0" borderId="20" xfId="0" applyFont="1" applyBorder="1">
      <alignment vertical="center"/>
    </xf>
    <xf numFmtId="0" fontId="5" fillId="0" borderId="8" xfId="0" applyFont="1" applyBorder="1">
      <alignment vertical="center"/>
    </xf>
    <xf numFmtId="0" fontId="7" fillId="0" borderId="13" xfId="0" applyFont="1" applyBorder="1" applyAlignment="1">
      <alignment vertical="center" shrinkToFit="1"/>
    </xf>
    <xf numFmtId="0" fontId="7" fillId="0" borderId="3" xfId="0" applyFont="1" applyBorder="1" applyAlignment="1">
      <alignment vertical="center" shrinkToFit="1"/>
    </xf>
    <xf numFmtId="0" fontId="7" fillId="0" borderId="4" xfId="0" applyFont="1" applyBorder="1" applyAlignment="1">
      <alignment vertical="center" shrinkToFit="1"/>
    </xf>
    <xf numFmtId="0" fontId="7" fillId="0" borderId="13" xfId="0" applyFont="1" applyBorder="1">
      <alignment vertical="center"/>
    </xf>
    <xf numFmtId="0" fontId="7" fillId="0" borderId="3" xfId="0" applyFont="1" applyBorder="1">
      <alignment vertical="center"/>
    </xf>
    <xf numFmtId="0" fontId="6" fillId="0" borderId="13" xfId="0" applyFont="1" applyBorder="1" applyAlignment="1">
      <alignment vertical="center" shrinkToFit="1"/>
    </xf>
    <xf numFmtId="0" fontId="7" fillId="0" borderId="4" xfId="0" applyFont="1" applyBorder="1">
      <alignment vertical="center"/>
    </xf>
    <xf numFmtId="0" fontId="6" fillId="0" borderId="13" xfId="0" applyFont="1" applyBorder="1">
      <alignment vertical="center"/>
    </xf>
    <xf numFmtId="0" fontId="7" fillId="0" borderId="14" xfId="0" applyFont="1" applyBorder="1" applyAlignment="1">
      <alignment vertical="center" shrinkToFit="1"/>
    </xf>
    <xf numFmtId="0" fontId="4" fillId="0" borderId="20" xfId="0" applyFont="1" applyBorder="1">
      <alignment vertical="center"/>
    </xf>
    <xf numFmtId="0" fontId="4" fillId="0" borderId="22" xfId="0" applyFont="1" applyBorder="1">
      <alignment vertical="center"/>
    </xf>
    <xf numFmtId="49" fontId="8" fillId="0" borderId="13" xfId="0" applyNumberFormat="1" applyFont="1" applyBorder="1" applyAlignment="1">
      <alignment vertical="center" shrinkToFit="1"/>
    </xf>
    <xf numFmtId="49" fontId="8" fillId="0" borderId="16" xfId="0" applyNumberFormat="1" applyFont="1" applyBorder="1" applyAlignment="1">
      <alignment vertical="center" shrinkToFit="1"/>
    </xf>
    <xf numFmtId="0" fontId="21" fillId="0" borderId="0" xfId="4" applyFont="1">
      <alignment vertical="center"/>
    </xf>
    <xf numFmtId="0" fontId="25" fillId="0" borderId="0" xfId="4" applyFont="1" applyAlignment="1">
      <alignment horizontal="right" vertical="center"/>
    </xf>
    <xf numFmtId="0" fontId="26" fillId="0" borderId="0" xfId="4" applyFont="1" applyAlignment="1">
      <alignment horizontal="right" vertical="center"/>
    </xf>
    <xf numFmtId="0" fontId="21" fillId="1" borderId="17" xfId="4" applyFont="1" applyFill="1" applyBorder="1">
      <alignment vertical="center"/>
    </xf>
    <xf numFmtId="0" fontId="21" fillId="1" borderId="18" xfId="4" applyFont="1" applyFill="1" applyBorder="1">
      <alignment vertical="center"/>
    </xf>
    <xf numFmtId="0" fontId="21" fillId="0" borderId="28" xfId="4" applyFont="1" applyBorder="1">
      <alignment vertical="center"/>
    </xf>
    <xf numFmtId="0" fontId="21" fillId="0" borderId="29" xfId="4" applyFont="1" applyBorder="1">
      <alignment vertical="center"/>
    </xf>
    <xf numFmtId="0" fontId="26" fillId="0" borderId="0" xfId="4" applyFont="1">
      <alignment vertical="center"/>
    </xf>
    <xf numFmtId="0" fontId="25" fillId="0" borderId="0" xfId="4" applyFont="1">
      <alignment vertical="center"/>
    </xf>
    <xf numFmtId="0" fontId="23" fillId="0" borderId="30" xfId="4" applyFont="1" applyBorder="1">
      <alignment vertical="center"/>
    </xf>
    <xf numFmtId="0" fontId="21" fillId="0" borderId="30" xfId="4" applyFont="1" applyBorder="1">
      <alignment vertical="center"/>
    </xf>
    <xf numFmtId="0" fontId="23" fillId="0" borderId="0" xfId="4" applyFont="1">
      <alignment vertical="center"/>
    </xf>
    <xf numFmtId="0" fontId="20" fillId="0" borderId="0" xfId="4" applyFont="1">
      <alignment vertical="center"/>
    </xf>
    <xf numFmtId="0" fontId="27" fillId="0" borderId="0" xfId="4" applyFont="1">
      <alignment vertical="center"/>
    </xf>
    <xf numFmtId="0" fontId="28" fillId="0" borderId="0" xfId="4" applyFont="1">
      <alignment vertical="center"/>
    </xf>
    <xf numFmtId="0" fontId="29" fillId="0" borderId="0" xfId="4" applyFont="1">
      <alignment vertical="center"/>
    </xf>
    <xf numFmtId="186" fontId="30" fillId="0" borderId="0" xfId="4" applyNumberFormat="1" applyFont="1" applyAlignment="1">
      <alignment horizontal="left" vertical="center"/>
    </xf>
    <xf numFmtId="0" fontId="21" fillId="4" borderId="5" xfId="4" applyFont="1" applyFill="1" applyBorder="1" applyAlignment="1">
      <alignment horizontal="center" vertical="center"/>
    </xf>
    <xf numFmtId="0" fontId="21" fillId="4" borderId="9" xfId="4" applyFont="1" applyFill="1" applyBorder="1" applyAlignment="1">
      <alignment horizontal="center" vertical="center"/>
    </xf>
    <xf numFmtId="0" fontId="8" fillId="0" borderId="0" xfId="4" applyFont="1">
      <alignment vertical="center"/>
    </xf>
    <xf numFmtId="185" fontId="8" fillId="0" borderId="0" xfId="4" applyNumberFormat="1" applyFont="1" applyAlignment="1">
      <alignment horizontal="left" vertical="center"/>
    </xf>
    <xf numFmtId="185" fontId="24" fillId="0" borderId="0" xfId="4" applyNumberFormat="1" applyFont="1" applyAlignment="1">
      <alignment horizontal="left" vertical="center"/>
    </xf>
    <xf numFmtId="0" fontId="21" fillId="0" borderId="0" xfId="4" applyFont="1" applyAlignment="1">
      <alignment horizontal="center" vertical="center"/>
    </xf>
    <xf numFmtId="185" fontId="23" fillId="0" borderId="0" xfId="4" applyNumberFormat="1" applyFont="1" applyAlignment="1">
      <alignment horizontal="left" vertical="center"/>
    </xf>
    <xf numFmtId="0" fontId="21" fillId="0" borderId="5" xfId="4" applyFont="1" applyBorder="1">
      <alignment vertical="center"/>
    </xf>
    <xf numFmtId="0" fontId="21" fillId="0" borderId="32" xfId="4" applyFont="1" applyBorder="1">
      <alignment vertical="center"/>
    </xf>
    <xf numFmtId="0" fontId="20" fillId="0" borderId="32" xfId="4" applyFont="1" applyBorder="1">
      <alignment vertical="center"/>
    </xf>
    <xf numFmtId="0" fontId="26" fillId="0" borderId="0" xfId="4" quotePrefix="1" applyFont="1" applyAlignment="1">
      <alignment horizontal="right" vertical="center"/>
    </xf>
    <xf numFmtId="0" fontId="8" fillId="0" borderId="30" xfId="4" applyFont="1" applyBorder="1">
      <alignment vertical="center"/>
    </xf>
    <xf numFmtId="0" fontId="20" fillId="0" borderId="30" xfId="4" applyFont="1" applyBorder="1">
      <alignment vertical="center"/>
    </xf>
    <xf numFmtId="0" fontId="9" fillId="0" borderId="0" xfId="4" applyFont="1" applyAlignment="1">
      <alignment horizontal="right" vertical="center"/>
    </xf>
    <xf numFmtId="0" fontId="21" fillId="0" borderId="33" xfId="4" applyFont="1" applyBorder="1">
      <alignment vertical="center"/>
    </xf>
    <xf numFmtId="0" fontId="21" fillId="4" borderId="6" xfId="4" applyFont="1" applyFill="1" applyBorder="1">
      <alignment vertical="center"/>
    </xf>
    <xf numFmtId="0" fontId="21" fillId="4" borderId="5" xfId="4" applyFont="1" applyFill="1" applyBorder="1">
      <alignment vertical="center"/>
    </xf>
    <xf numFmtId="0" fontId="21" fillId="4" borderId="20" xfId="4" applyFont="1" applyFill="1" applyBorder="1">
      <alignment vertical="center"/>
    </xf>
    <xf numFmtId="0" fontId="21" fillId="4" borderId="0" xfId="4" applyFont="1" applyFill="1">
      <alignment vertical="center"/>
    </xf>
    <xf numFmtId="0" fontId="25" fillId="4" borderId="0" xfId="4" applyFont="1" applyFill="1" applyAlignment="1">
      <alignment horizontal="center" vertical="center" wrapText="1"/>
    </xf>
    <xf numFmtId="0" fontId="21" fillId="4" borderId="21" xfId="4" applyFont="1" applyFill="1" applyBorder="1">
      <alignment vertical="center"/>
    </xf>
    <xf numFmtId="0" fontId="26" fillId="4" borderId="20" xfId="4" applyFont="1" applyFill="1" applyBorder="1">
      <alignment vertical="center"/>
    </xf>
    <xf numFmtId="0" fontId="26" fillId="4" borderId="0" xfId="4" applyFont="1" applyFill="1" applyAlignment="1">
      <alignment horizontal="center" vertical="center" wrapText="1"/>
    </xf>
    <xf numFmtId="0" fontId="26" fillId="4" borderId="0" xfId="4" applyFont="1" applyFill="1">
      <alignment vertical="center"/>
    </xf>
    <xf numFmtId="0" fontId="21" fillId="4" borderId="8" xfId="4" applyFont="1" applyFill="1" applyBorder="1">
      <alignment vertical="center"/>
    </xf>
    <xf numFmtId="0" fontId="21" fillId="4" borderId="9" xfId="4" applyFont="1" applyFill="1" applyBorder="1">
      <alignment vertical="center"/>
    </xf>
    <xf numFmtId="0" fontId="21" fillId="4" borderId="10" xfId="4" applyFont="1" applyFill="1" applyBorder="1">
      <alignment vertical="center"/>
    </xf>
    <xf numFmtId="0" fontId="21" fillId="1" borderId="25" xfId="4" applyFont="1" applyFill="1" applyBorder="1">
      <alignment vertical="center"/>
    </xf>
    <xf numFmtId="0" fontId="21" fillId="0" borderId="20" xfId="4" applyFont="1" applyBorder="1">
      <alignment vertical="center"/>
    </xf>
    <xf numFmtId="0" fontId="20" fillId="0" borderId="20" xfId="4" applyFont="1" applyBorder="1">
      <alignment vertical="center"/>
    </xf>
    <xf numFmtId="0" fontId="21" fillId="0" borderId="8" xfId="4" applyFont="1" applyBorder="1">
      <alignment vertical="center"/>
    </xf>
    <xf numFmtId="0" fontId="21" fillId="0" borderId="34" xfId="4" applyFont="1" applyBorder="1">
      <alignment vertical="center"/>
    </xf>
    <xf numFmtId="0" fontId="21" fillId="1" borderId="35" xfId="4" applyFont="1" applyFill="1" applyBorder="1">
      <alignment vertical="center"/>
    </xf>
    <xf numFmtId="0" fontId="21" fillId="0" borderId="36" xfId="4" applyFont="1" applyBorder="1">
      <alignment vertical="center"/>
    </xf>
    <xf numFmtId="0" fontId="20" fillId="0" borderId="36" xfId="4" applyFont="1" applyBorder="1">
      <alignment vertical="center"/>
    </xf>
    <xf numFmtId="0" fontId="21" fillId="0" borderId="37" xfId="4" applyFont="1" applyBorder="1">
      <alignment vertical="center"/>
    </xf>
    <xf numFmtId="0" fontId="21" fillId="0" borderId="38" xfId="4" applyFont="1" applyBorder="1">
      <alignment vertical="center"/>
    </xf>
    <xf numFmtId="0" fontId="20" fillId="0" borderId="39" xfId="4" applyFont="1" applyBorder="1">
      <alignment vertical="center"/>
    </xf>
    <xf numFmtId="0" fontId="21" fillId="0" borderId="39" xfId="4" applyFont="1" applyBorder="1">
      <alignment vertical="center"/>
    </xf>
    <xf numFmtId="0" fontId="21" fillId="0" borderId="40" xfId="4" applyFont="1" applyBorder="1">
      <alignment vertical="center"/>
    </xf>
    <xf numFmtId="0" fontId="21" fillId="0" borderId="41" xfId="4" applyFont="1" applyBorder="1">
      <alignment vertical="center"/>
    </xf>
    <xf numFmtId="0" fontId="20" fillId="0" borderId="41" xfId="4" applyFont="1" applyBorder="1">
      <alignment vertical="center"/>
    </xf>
    <xf numFmtId="0" fontId="21" fillId="0" borderId="44" xfId="4" applyFont="1" applyBorder="1">
      <alignment vertical="center"/>
    </xf>
    <xf numFmtId="0" fontId="21" fillId="0" borderId="46" xfId="4" applyFont="1" applyBorder="1">
      <alignment vertical="center"/>
    </xf>
    <xf numFmtId="0" fontId="21" fillId="4" borderId="47" xfId="4" applyFont="1" applyFill="1" applyBorder="1">
      <alignment vertical="center"/>
    </xf>
    <xf numFmtId="0" fontId="21" fillId="4" borderId="48" xfId="4" applyFont="1" applyFill="1" applyBorder="1">
      <alignment vertical="center"/>
    </xf>
    <xf numFmtId="0" fontId="21" fillId="4" borderId="7" xfId="4" applyFont="1" applyFill="1" applyBorder="1" applyAlignment="1">
      <alignment horizontal="center" vertical="center"/>
    </xf>
    <xf numFmtId="0" fontId="21" fillId="4" borderId="20" xfId="4" applyFont="1" applyFill="1" applyBorder="1" applyAlignment="1">
      <alignment horizontal="center" vertical="center"/>
    </xf>
    <xf numFmtId="0" fontId="21" fillId="4" borderId="0" xfId="4" applyFont="1" applyFill="1" applyAlignment="1">
      <alignment horizontal="center" vertical="center"/>
    </xf>
    <xf numFmtId="0" fontId="21" fillId="4" borderId="21" xfId="4" applyFont="1" applyFill="1" applyBorder="1" applyAlignment="1">
      <alignment horizontal="center" vertical="center"/>
    </xf>
    <xf numFmtId="0" fontId="21" fillId="4" borderId="8" xfId="4" applyFont="1" applyFill="1" applyBorder="1" applyAlignment="1">
      <alignment horizontal="center" vertical="center"/>
    </xf>
    <xf numFmtId="0" fontId="21" fillId="4" borderId="10" xfId="4" applyFont="1" applyFill="1" applyBorder="1" applyAlignment="1">
      <alignment horizontal="center" vertical="center"/>
    </xf>
    <xf numFmtId="0" fontId="21" fillId="4" borderId="49" xfId="4" applyFont="1" applyFill="1" applyBorder="1" applyAlignment="1">
      <alignment horizontal="center" vertical="center"/>
    </xf>
    <xf numFmtId="0" fontId="21" fillId="4" borderId="25" xfId="4" applyFont="1" applyFill="1" applyBorder="1" applyAlignment="1">
      <alignment horizontal="center" vertical="center"/>
    </xf>
    <xf numFmtId="0" fontId="21" fillId="4" borderId="50" xfId="4" applyFont="1" applyFill="1" applyBorder="1" applyAlignment="1">
      <alignment horizontal="center" vertical="center"/>
    </xf>
    <xf numFmtId="0" fontId="21" fillId="4" borderId="50" xfId="4" applyFont="1" applyFill="1" applyBorder="1">
      <alignment vertical="center"/>
    </xf>
    <xf numFmtId="0" fontId="21" fillId="4" borderId="25" xfId="4" applyFont="1" applyFill="1" applyBorder="1">
      <alignment vertical="center"/>
    </xf>
    <xf numFmtId="0" fontId="21" fillId="4" borderId="43" xfId="4" applyFont="1" applyFill="1" applyBorder="1">
      <alignment vertical="center"/>
    </xf>
    <xf numFmtId="0" fontId="21" fillId="4" borderId="49" xfId="4" applyFont="1" applyFill="1" applyBorder="1">
      <alignment vertical="center"/>
    </xf>
    <xf numFmtId="0" fontId="26" fillId="4" borderId="0" xfId="4" applyFont="1" applyFill="1" applyAlignment="1">
      <alignment horizontal="right" vertical="center"/>
    </xf>
    <xf numFmtId="0" fontId="24" fillId="0" borderId="0" xfId="4" applyFont="1" applyAlignment="1">
      <alignment horizontal="center" vertical="center"/>
    </xf>
    <xf numFmtId="0" fontId="14" fillId="4" borderId="0" xfId="4" applyFont="1" applyFill="1" applyAlignment="1">
      <alignment horizontal="center" vertical="center"/>
    </xf>
    <xf numFmtId="0" fontId="20" fillId="0" borderId="44" xfId="4" applyFont="1" applyBorder="1">
      <alignment vertical="center"/>
    </xf>
    <xf numFmtId="0" fontId="20" fillId="0" borderId="8" xfId="4" applyFont="1" applyBorder="1">
      <alignment vertical="center"/>
    </xf>
    <xf numFmtId="0" fontId="20" fillId="0" borderId="46" xfId="4" applyFont="1" applyBorder="1">
      <alignment vertical="center"/>
    </xf>
    <xf numFmtId="0" fontId="20" fillId="0" borderId="42" xfId="4" applyFont="1" applyBorder="1">
      <alignment vertical="center"/>
    </xf>
    <xf numFmtId="0" fontId="21" fillId="0" borderId="47" xfId="4" applyFont="1" applyBorder="1">
      <alignment vertical="center"/>
    </xf>
    <xf numFmtId="187" fontId="14" fillId="4" borderId="9" xfId="4" applyNumberFormat="1" applyFont="1" applyFill="1" applyBorder="1" applyAlignment="1">
      <alignment horizontal="center" vertical="center"/>
    </xf>
    <xf numFmtId="0" fontId="25" fillId="4" borderId="0" xfId="4" applyFont="1" applyFill="1" applyAlignment="1">
      <alignment horizontal="right" vertical="center"/>
    </xf>
    <xf numFmtId="187" fontId="25" fillId="4" borderId="9" xfId="4" applyNumberFormat="1" applyFont="1" applyFill="1" applyBorder="1" applyAlignment="1">
      <alignment horizontal="right" vertical="center"/>
    </xf>
    <xf numFmtId="0" fontId="22" fillId="0" borderId="0" xfId="4" applyFont="1">
      <alignment vertical="center"/>
    </xf>
    <xf numFmtId="0" fontId="33" fillId="0" borderId="0" xfId="4" applyFont="1">
      <alignment vertical="center"/>
    </xf>
    <xf numFmtId="0" fontId="9" fillId="0" borderId="0" xfId="4" applyFont="1">
      <alignment vertical="center"/>
    </xf>
    <xf numFmtId="0" fontId="25" fillId="0" borderId="9" xfId="4" applyFont="1" applyBorder="1">
      <alignment vertical="center"/>
    </xf>
    <xf numFmtId="188" fontId="9" fillId="3" borderId="9" xfId="4" applyNumberFormat="1" applyFont="1" applyFill="1" applyBorder="1">
      <alignment vertical="center"/>
    </xf>
    <xf numFmtId="188" fontId="32" fillId="0" borderId="9" xfId="4" applyNumberFormat="1" applyFont="1" applyBorder="1">
      <alignment vertical="center"/>
    </xf>
    <xf numFmtId="188" fontId="25" fillId="3" borderId="9" xfId="4" applyNumberFormat="1" applyFont="1" applyFill="1" applyBorder="1">
      <alignment vertical="center"/>
    </xf>
    <xf numFmtId="189" fontId="9" fillId="3" borderId="9" xfId="4" applyNumberFormat="1" applyFont="1" applyFill="1" applyBorder="1">
      <alignment vertical="center"/>
    </xf>
    <xf numFmtId="189" fontId="32" fillId="0" borderId="9" xfId="4" applyNumberFormat="1" applyFont="1" applyBorder="1">
      <alignment vertical="center"/>
    </xf>
    <xf numFmtId="189" fontId="25" fillId="3" borderId="9" xfId="4" applyNumberFormat="1" applyFont="1" applyFill="1" applyBorder="1">
      <alignment vertical="center"/>
    </xf>
    <xf numFmtId="189" fontId="9" fillId="0" borderId="9" xfId="4" applyNumberFormat="1" applyFont="1" applyBorder="1">
      <alignment vertical="center"/>
    </xf>
    <xf numFmtId="189" fontId="25" fillId="0" borderId="9" xfId="4" applyNumberFormat="1" applyFont="1" applyBorder="1">
      <alignment vertical="center"/>
    </xf>
    <xf numFmtId="188" fontId="9" fillId="0" borderId="9" xfId="4" applyNumberFormat="1" applyFont="1" applyBorder="1">
      <alignment vertical="center"/>
    </xf>
    <xf numFmtId="188" fontId="25" fillId="0" borderId="9" xfId="4" applyNumberFormat="1" applyFont="1" applyBorder="1">
      <alignment vertical="center"/>
    </xf>
    <xf numFmtId="0" fontId="23" fillId="0" borderId="0" xfId="4" applyFont="1" applyAlignment="1">
      <alignment horizontal="center" vertical="center"/>
    </xf>
    <xf numFmtId="0" fontId="23" fillId="0" borderId="0" xfId="4" applyFont="1" applyAlignment="1">
      <alignment horizontal="right" vertical="center"/>
    </xf>
    <xf numFmtId="0" fontId="21" fillId="4" borderId="44" xfId="4" applyFont="1" applyFill="1" applyBorder="1" applyAlignment="1">
      <alignment horizontal="center" vertical="center"/>
    </xf>
    <xf numFmtId="0" fontId="21" fillId="4" borderId="32" xfId="4" applyFont="1" applyFill="1" applyBorder="1" applyAlignment="1">
      <alignment horizontal="center" vertical="center"/>
    </xf>
    <xf numFmtId="0" fontId="21" fillId="4" borderId="52" xfId="4" applyFont="1" applyFill="1" applyBorder="1" applyAlignment="1">
      <alignment horizontal="center" vertical="center"/>
    </xf>
    <xf numFmtId="0" fontId="21" fillId="4" borderId="45" xfId="4" applyFont="1" applyFill="1" applyBorder="1" applyAlignment="1">
      <alignment horizontal="center" vertical="center"/>
    </xf>
    <xf numFmtId="0" fontId="21" fillId="4" borderId="53" xfId="4" applyFont="1" applyFill="1" applyBorder="1" applyAlignment="1">
      <alignment horizontal="center" vertical="center"/>
    </xf>
    <xf numFmtId="0" fontId="21" fillId="4" borderId="51" xfId="4" applyFont="1" applyFill="1" applyBorder="1" applyAlignment="1">
      <alignment horizontal="center" vertical="center"/>
    </xf>
    <xf numFmtId="0" fontId="21" fillId="0" borderId="54" xfId="4" applyFont="1" applyBorder="1">
      <alignment vertical="center"/>
    </xf>
    <xf numFmtId="0" fontId="21" fillId="0" borderId="55" xfId="4" applyFont="1" applyBorder="1">
      <alignment vertical="center"/>
    </xf>
    <xf numFmtId="0" fontId="21" fillId="0" borderId="56" xfId="4" applyFont="1" applyBorder="1">
      <alignment vertical="center"/>
    </xf>
    <xf numFmtId="176" fontId="0" fillId="0" borderId="6" xfId="0" applyNumberFormat="1" applyBorder="1">
      <alignment vertical="center"/>
    </xf>
    <xf numFmtId="176" fontId="0" fillId="0" borderId="58" xfId="0" applyNumberFormat="1"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0" borderId="0" xfId="0" applyFont="1">
      <alignment vertical="center"/>
    </xf>
    <xf numFmtId="0" fontId="5" fillId="0" borderId="21" xfId="0" applyFont="1" applyBorder="1">
      <alignment vertical="center"/>
    </xf>
    <xf numFmtId="0" fontId="5" fillId="0" borderId="0" xfId="0" applyFont="1" applyAlignment="1">
      <alignment horizontal="right" vertical="center"/>
    </xf>
    <xf numFmtId="0" fontId="5" fillId="0" borderId="9" xfId="0" applyFont="1" applyBorder="1">
      <alignment vertical="center"/>
    </xf>
    <xf numFmtId="0" fontId="5" fillId="0" borderId="10" xfId="0" applyFont="1" applyBorder="1">
      <alignment vertical="center"/>
    </xf>
    <xf numFmtId="0" fontId="0" fillId="0" borderId="0" xfId="0" applyAlignment="1">
      <alignment horizontal="distributed" vertical="center"/>
    </xf>
    <xf numFmtId="0" fontId="16" fillId="0" borderId="0" xfId="2" applyAlignment="1" applyProtection="1">
      <alignment vertical="center"/>
    </xf>
    <xf numFmtId="0" fontId="16" fillId="0" borderId="0" xfId="2" applyAlignment="1" applyProtection="1">
      <alignment horizontal="center" vertical="center"/>
    </xf>
    <xf numFmtId="0" fontId="0" fillId="2" borderId="17" xfId="0" applyFill="1" applyBorder="1">
      <alignment vertical="center"/>
    </xf>
    <xf numFmtId="0" fontId="0" fillId="2" borderId="25" xfId="0" applyFill="1" applyBorder="1" applyAlignment="1">
      <alignment horizontal="distributed" vertical="center"/>
    </xf>
    <xf numFmtId="0" fontId="0" fillId="2" borderId="18" xfId="0" applyFill="1" applyBorder="1">
      <alignment vertical="center"/>
    </xf>
    <xf numFmtId="0" fontId="36" fillId="0" borderId="0" xfId="0" applyFont="1">
      <alignment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9" fillId="0" borderId="3" xfId="0" applyFont="1" applyBorder="1" applyAlignment="1">
      <alignment horizontal="center" vertical="center"/>
    </xf>
    <xf numFmtId="176" fontId="9" fillId="0" borderId="2" xfId="0" applyNumberFormat="1" applyFont="1" applyBorder="1">
      <alignment vertical="center"/>
    </xf>
    <xf numFmtId="176" fontId="9" fillId="0" borderId="12" xfId="0" applyNumberFormat="1" applyFont="1" applyBorder="1">
      <alignment vertical="center"/>
    </xf>
    <xf numFmtId="176" fontId="9" fillId="0" borderId="3" xfId="0" applyNumberFormat="1" applyFont="1" applyBorder="1">
      <alignment vertical="center"/>
    </xf>
    <xf numFmtId="176" fontId="7" fillId="0" borderId="3" xfId="0" applyNumberFormat="1" applyFont="1" applyBorder="1" applyAlignment="1">
      <alignment horizontal="left" vertical="center"/>
    </xf>
    <xf numFmtId="49" fontId="7" fillId="0" borderId="2" xfId="0" applyNumberFormat="1" applyFont="1" applyBorder="1" applyAlignment="1">
      <alignment horizontal="left" vertical="center"/>
    </xf>
    <xf numFmtId="176" fontId="9" fillId="5" borderId="2" xfId="0" applyNumberFormat="1" applyFont="1" applyFill="1" applyBorder="1">
      <alignment vertical="center"/>
    </xf>
    <xf numFmtId="176" fontId="9" fillId="5" borderId="12" xfId="0" applyNumberFormat="1" applyFont="1" applyFill="1" applyBorder="1">
      <alignment vertical="center"/>
    </xf>
    <xf numFmtId="176" fontId="9" fillId="5" borderId="3" xfId="0" applyNumberFormat="1" applyFont="1" applyFill="1" applyBorder="1">
      <alignment vertical="center"/>
    </xf>
    <xf numFmtId="179" fontId="8" fillId="0" borderId="13" xfId="0" applyNumberFormat="1" applyFont="1" applyBorder="1" applyAlignment="1">
      <alignment vertical="center" shrinkToFit="1"/>
    </xf>
    <xf numFmtId="179" fontId="8" fillId="0" borderId="3" xfId="0" applyNumberFormat="1" applyFont="1" applyBorder="1" applyAlignment="1">
      <alignment vertical="center" shrinkToFit="1"/>
    </xf>
    <xf numFmtId="179" fontId="8" fillId="0" borderId="4" xfId="0" applyNumberFormat="1" applyFont="1" applyBorder="1" applyAlignment="1">
      <alignment vertical="center" shrinkToFit="1"/>
    </xf>
    <xf numFmtId="0" fontId="4" fillId="0" borderId="2" xfId="0" applyFont="1" applyBorder="1">
      <alignment vertical="center"/>
    </xf>
    <xf numFmtId="0" fontId="4" fillId="0" borderId="12" xfId="0" applyFont="1" applyBorder="1">
      <alignment vertical="center"/>
    </xf>
    <xf numFmtId="0" fontId="4" fillId="0" borderId="12" xfId="0" applyFont="1" applyBorder="1" applyAlignment="1">
      <alignment horizontal="center" vertical="center"/>
    </xf>
    <xf numFmtId="0" fontId="4" fillId="0" borderId="2" xfId="0" applyFont="1" applyBorder="1" applyAlignment="1">
      <alignment vertical="center" wrapText="1"/>
    </xf>
    <xf numFmtId="176" fontId="7" fillId="0" borderId="12" xfId="0" applyNumberFormat="1" applyFont="1" applyBorder="1" applyAlignment="1">
      <alignment horizontal="left" vertical="center"/>
    </xf>
    <xf numFmtId="0" fontId="38" fillId="0" borderId="12" xfId="0" applyFont="1" applyBorder="1">
      <alignment vertical="center"/>
    </xf>
    <xf numFmtId="188" fontId="25" fillId="0" borderId="0" xfId="4" applyNumberFormat="1" applyFont="1">
      <alignment vertical="center"/>
    </xf>
    <xf numFmtId="188" fontId="32" fillId="0" borderId="0" xfId="4" applyNumberFormat="1" applyFont="1">
      <alignment vertical="center"/>
    </xf>
    <xf numFmtId="0" fontId="0" fillId="6" borderId="17" xfId="0" applyFill="1" applyBorder="1">
      <alignment vertical="center"/>
    </xf>
    <xf numFmtId="0" fontId="0" fillId="6" borderId="25" xfId="0" applyFill="1" applyBorder="1" applyAlignment="1">
      <alignment horizontal="distributed" vertical="center"/>
    </xf>
    <xf numFmtId="0" fontId="0" fillId="6" borderId="18" xfId="0" applyFill="1" applyBorder="1">
      <alignment vertical="center"/>
    </xf>
    <xf numFmtId="0" fontId="6" fillId="0" borderId="7" xfId="0" applyFont="1" applyBorder="1" applyAlignment="1">
      <alignment horizontal="right" vertical="center"/>
    </xf>
    <xf numFmtId="0" fontId="6" fillId="0" borderId="21" xfId="0" applyFont="1" applyBorder="1" applyAlignment="1">
      <alignment horizontal="right" vertical="center"/>
    </xf>
    <xf numFmtId="0" fontId="39" fillId="0" borderId="2" xfId="0" applyFont="1" applyBorder="1">
      <alignment vertical="center"/>
    </xf>
    <xf numFmtId="0" fontId="39" fillId="0" borderId="4" xfId="0" applyFont="1" applyBorder="1">
      <alignment vertical="center"/>
    </xf>
    <xf numFmtId="0" fontId="4" fillId="0" borderId="4" xfId="0" applyFont="1" applyBorder="1">
      <alignment vertical="center"/>
    </xf>
    <xf numFmtId="0" fontId="0" fillId="0" borderId="1" xfId="0" applyBorder="1">
      <alignment vertical="center"/>
    </xf>
    <xf numFmtId="0" fontId="39" fillId="0" borderId="3" xfId="0" applyFont="1" applyBorder="1">
      <alignment vertical="center"/>
    </xf>
    <xf numFmtId="178" fontId="39" fillId="0" borderId="4" xfId="0" applyNumberFormat="1" applyFont="1" applyBorder="1">
      <alignment vertical="center"/>
    </xf>
    <xf numFmtId="0" fontId="39" fillId="0" borderId="4" xfId="0" applyFont="1" applyBorder="1" applyAlignment="1">
      <alignment horizontal="center" vertical="center"/>
    </xf>
    <xf numFmtId="176" fontId="39" fillId="0" borderId="4" xfId="0" applyNumberFormat="1" applyFont="1" applyBorder="1">
      <alignment vertical="center"/>
    </xf>
    <xf numFmtId="178" fontId="39" fillId="0" borderId="3" xfId="0" applyNumberFormat="1" applyFont="1" applyBorder="1">
      <alignment vertical="center"/>
    </xf>
    <xf numFmtId="176" fontId="41" fillId="0" borderId="3" xfId="0" applyNumberFormat="1" applyFont="1" applyBorder="1">
      <alignment vertical="center"/>
    </xf>
    <xf numFmtId="176" fontId="0" fillId="0" borderId="1" xfId="0" applyNumberFormat="1" applyBorder="1">
      <alignment vertical="center"/>
    </xf>
    <xf numFmtId="176" fontId="39" fillId="2" borderId="4" xfId="0" applyNumberFormat="1" applyFont="1" applyFill="1" applyBorder="1">
      <alignment vertical="center"/>
    </xf>
    <xf numFmtId="176" fontId="41" fillId="2" borderId="3" xfId="0" applyNumberFormat="1" applyFont="1" applyFill="1" applyBorder="1">
      <alignment vertical="center"/>
    </xf>
    <xf numFmtId="0" fontId="2" fillId="0" borderId="1" xfId="0" applyFont="1" applyBorder="1">
      <alignment vertical="center"/>
    </xf>
    <xf numFmtId="176" fontId="41" fillId="7" borderId="3" xfId="0" applyNumberFormat="1" applyFont="1" applyFill="1" applyBorder="1">
      <alignment vertical="center"/>
    </xf>
    <xf numFmtId="176" fontId="39" fillId="0" borderId="2" xfId="0" applyNumberFormat="1" applyFont="1" applyBorder="1">
      <alignment vertical="center"/>
    </xf>
    <xf numFmtId="176" fontId="39" fillId="0" borderId="3" xfId="0" applyNumberFormat="1" applyFont="1" applyBorder="1">
      <alignment vertical="center"/>
    </xf>
    <xf numFmtId="176" fontId="41" fillId="0" borderId="16" xfId="0" applyNumberFormat="1" applyFont="1" applyBorder="1">
      <alignment vertical="center"/>
    </xf>
    <xf numFmtId="176" fontId="39" fillId="7" borderId="4" xfId="0" applyNumberFormat="1" applyFont="1" applyFill="1" applyBorder="1">
      <alignment vertical="center"/>
    </xf>
    <xf numFmtId="0" fontId="39" fillId="0" borderId="25" xfId="0" applyFont="1" applyBorder="1">
      <alignment vertical="center"/>
    </xf>
    <xf numFmtId="0" fontId="39" fillId="0" borderId="0" xfId="0" applyFont="1">
      <alignment vertical="center"/>
    </xf>
    <xf numFmtId="0" fontId="6" fillId="0" borderId="0" xfId="0" applyFont="1" applyAlignment="1">
      <alignment horizontal="right"/>
    </xf>
    <xf numFmtId="0" fontId="39" fillId="0" borderId="10" xfId="0" applyFont="1" applyBorder="1" applyAlignment="1">
      <alignment horizontal="center" vertical="center"/>
    </xf>
    <xf numFmtId="0" fontId="4" fillId="0" borderId="1" xfId="0" applyFont="1" applyBorder="1" applyAlignment="1">
      <alignment horizontal="center" vertical="center" wrapText="1"/>
    </xf>
    <xf numFmtId="0" fontId="39" fillId="0" borderId="3" xfId="0" applyFont="1" applyBorder="1" applyAlignment="1">
      <alignment horizontal="center" vertical="center"/>
    </xf>
    <xf numFmtId="0" fontId="39" fillId="0" borderId="9" xfId="0" applyFont="1" applyBorder="1">
      <alignment vertical="center"/>
    </xf>
    <xf numFmtId="0" fontId="39" fillId="0" borderId="9" xfId="0" applyFont="1" applyBorder="1" applyAlignment="1">
      <alignment horizontal="center" vertical="center"/>
    </xf>
    <xf numFmtId="0" fontId="4" fillId="0" borderId="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39" fillId="0" borderId="6" xfId="0" applyFont="1" applyBorder="1">
      <alignment vertical="center"/>
    </xf>
    <xf numFmtId="176" fontId="40" fillId="0" borderId="4" xfId="0" applyNumberFormat="1" applyFont="1" applyBorder="1">
      <alignment vertical="center"/>
    </xf>
    <xf numFmtId="0" fontId="39" fillId="0" borderId="20" xfId="0" applyFont="1" applyBorder="1">
      <alignment vertical="center"/>
    </xf>
    <xf numFmtId="176" fontId="40" fillId="0" borderId="3" xfId="0" applyNumberFormat="1" applyFont="1" applyBorder="1">
      <alignment vertical="center"/>
    </xf>
    <xf numFmtId="176" fontId="39" fillId="0" borderId="16" xfId="0" applyNumberFormat="1" applyFont="1" applyBorder="1">
      <alignment vertical="center"/>
    </xf>
    <xf numFmtId="0" fontId="0" fillId="0" borderId="16" xfId="0" applyBorder="1">
      <alignment vertical="center"/>
    </xf>
    <xf numFmtId="191" fontId="39" fillId="0" borderId="2" xfId="0" applyNumberFormat="1" applyFont="1" applyBorder="1">
      <alignment vertical="center"/>
    </xf>
    <xf numFmtId="191" fontId="39" fillId="0" borderId="16" xfId="0" applyNumberFormat="1" applyFont="1" applyBorder="1">
      <alignment vertical="center"/>
    </xf>
    <xf numFmtId="0" fontId="39" fillId="2" borderId="4" xfId="0" applyFont="1" applyFill="1" applyBorder="1">
      <alignment vertical="center"/>
    </xf>
    <xf numFmtId="176" fontId="39" fillId="2" borderId="2" xfId="0" applyNumberFormat="1" applyFont="1" applyFill="1" applyBorder="1">
      <alignment vertical="center"/>
    </xf>
    <xf numFmtId="176" fontId="39" fillId="0" borderId="0" xfId="0" applyNumberFormat="1" applyFont="1">
      <alignment vertical="center"/>
    </xf>
    <xf numFmtId="0" fontId="39" fillId="2" borderId="21" xfId="0" applyFont="1" applyFill="1" applyBorder="1">
      <alignment vertical="center"/>
    </xf>
    <xf numFmtId="176" fontId="41" fillId="2" borderId="16" xfId="0" applyNumberFormat="1" applyFont="1" applyFill="1" applyBorder="1">
      <alignment vertical="center"/>
    </xf>
    <xf numFmtId="176" fontId="39" fillId="2" borderId="16" xfId="0" applyNumberFormat="1" applyFont="1" applyFill="1" applyBorder="1">
      <alignment vertical="center"/>
    </xf>
    <xf numFmtId="0" fontId="4" fillId="0" borderId="16" xfId="0" applyFont="1" applyBorder="1">
      <alignment vertical="center"/>
    </xf>
    <xf numFmtId="191" fontId="39" fillId="0" borderId="4" xfId="0" applyNumberFormat="1" applyFont="1" applyBorder="1">
      <alignment vertical="center"/>
    </xf>
    <xf numFmtId="191" fontId="39" fillId="0" borderId="3" xfId="0" applyNumberFormat="1" applyFont="1" applyBorder="1">
      <alignment vertical="center"/>
    </xf>
    <xf numFmtId="176" fontId="40" fillId="2" borderId="4" xfId="0" applyNumberFormat="1" applyFont="1" applyFill="1" applyBorder="1">
      <alignment vertical="center"/>
    </xf>
    <xf numFmtId="176" fontId="39" fillId="2" borderId="3" xfId="0" applyNumberFormat="1" applyFont="1" applyFill="1" applyBorder="1">
      <alignment vertical="center"/>
    </xf>
    <xf numFmtId="0" fontId="39" fillId="2" borderId="10" xfId="0" applyFont="1" applyFill="1" applyBorder="1">
      <alignment vertical="center"/>
    </xf>
    <xf numFmtId="191" fontId="41" fillId="0" borderId="16" xfId="0" applyNumberFormat="1" applyFont="1" applyBorder="1">
      <alignment vertical="center"/>
    </xf>
    <xf numFmtId="191" fontId="39" fillId="0" borderId="0" xfId="0" applyNumberFormat="1" applyFont="1">
      <alignment vertical="center"/>
    </xf>
    <xf numFmtId="176" fontId="2" fillId="0" borderId="3" xfId="0" applyNumberFormat="1" applyFont="1" applyBorder="1">
      <alignment vertical="center"/>
    </xf>
    <xf numFmtId="176" fontId="41" fillId="0" borderId="71" xfId="0" applyNumberFormat="1" applyFont="1" applyBorder="1">
      <alignment vertical="center"/>
    </xf>
    <xf numFmtId="0" fontId="0" fillId="0" borderId="60" xfId="0" applyBorder="1">
      <alignment vertical="center"/>
    </xf>
    <xf numFmtId="176" fontId="2" fillId="0" borderId="10" xfId="0" applyNumberFormat="1" applyFont="1" applyBorder="1">
      <alignment vertical="center"/>
    </xf>
    <xf numFmtId="176" fontId="39" fillId="0" borderId="13" xfId="0" applyNumberFormat="1" applyFont="1" applyBorder="1">
      <alignment vertical="center"/>
    </xf>
    <xf numFmtId="0" fontId="2" fillId="0" borderId="3" xfId="0" applyFont="1" applyBorder="1">
      <alignment vertical="center"/>
    </xf>
    <xf numFmtId="176" fontId="0" fillId="0" borderId="60" xfId="0" applyNumberFormat="1" applyBorder="1">
      <alignment vertical="center"/>
    </xf>
    <xf numFmtId="176" fontId="41" fillId="0" borderId="2" xfId="0" applyNumberFormat="1" applyFont="1" applyBorder="1">
      <alignment vertical="center"/>
    </xf>
    <xf numFmtId="0" fontId="2" fillId="0" borderId="10" xfId="0" applyFont="1" applyBorder="1">
      <alignment vertical="center"/>
    </xf>
    <xf numFmtId="176" fontId="41" fillId="0" borderId="58" xfId="0" applyNumberFormat="1" applyFont="1" applyBorder="1">
      <alignment vertical="center"/>
    </xf>
    <xf numFmtId="191" fontId="39" fillId="0" borderId="60" xfId="0" applyNumberFormat="1" applyFont="1" applyBorder="1">
      <alignment vertical="center"/>
    </xf>
    <xf numFmtId="191" fontId="41" fillId="0" borderId="61" xfId="0" applyNumberFormat="1" applyFont="1" applyBorder="1">
      <alignment vertical="center"/>
    </xf>
    <xf numFmtId="191" fontId="5" fillId="0" borderId="13" xfId="0" applyNumberFormat="1" applyFont="1" applyBorder="1">
      <alignment vertical="center"/>
    </xf>
    <xf numFmtId="0" fontId="5" fillId="0" borderId="12" xfId="0" applyFont="1" applyBorder="1">
      <alignment vertical="center"/>
    </xf>
    <xf numFmtId="176" fontId="0" fillId="0" borderId="71" xfId="0" applyNumberFormat="1" applyBorder="1">
      <alignment vertical="center"/>
    </xf>
    <xf numFmtId="0" fontId="4" fillId="0" borderId="59" xfId="0" applyFont="1" applyBorder="1">
      <alignment vertical="center"/>
    </xf>
    <xf numFmtId="0" fontId="4" fillId="0" borderId="8" xfId="0" applyFont="1" applyBorder="1">
      <alignment vertical="center"/>
    </xf>
    <xf numFmtId="0" fontId="9" fillId="0" borderId="25" xfId="0" applyFont="1" applyBorder="1">
      <alignment vertical="center"/>
    </xf>
    <xf numFmtId="183" fontId="43" fillId="2" borderId="4" xfId="0" applyNumberFormat="1" applyFont="1" applyFill="1" applyBorder="1">
      <alignment vertical="center"/>
    </xf>
    <xf numFmtId="183" fontId="2" fillId="2" borderId="3" xfId="0" applyNumberFormat="1" applyFont="1" applyFill="1" applyBorder="1">
      <alignment vertical="center"/>
    </xf>
    <xf numFmtId="183" fontId="0" fillId="2" borderId="4" xfId="0" applyNumberFormat="1" applyFill="1" applyBorder="1">
      <alignment vertical="center"/>
    </xf>
    <xf numFmtId="183" fontId="0" fillId="2" borderId="3" xfId="0" applyNumberFormat="1" applyFill="1" applyBorder="1">
      <alignment vertical="center"/>
    </xf>
    <xf numFmtId="176" fontId="2" fillId="0" borderId="16" xfId="0" applyNumberFormat="1" applyFont="1" applyBorder="1">
      <alignment vertical="center"/>
    </xf>
    <xf numFmtId="176" fontId="2" fillId="2" borderId="3" xfId="0" applyNumberFormat="1" applyFont="1" applyFill="1" applyBorder="1">
      <alignment vertical="center"/>
    </xf>
    <xf numFmtId="0" fontId="0" fillId="0" borderId="72" xfId="0" applyBorder="1">
      <alignment vertical="center"/>
    </xf>
    <xf numFmtId="38" fontId="0" fillId="0" borderId="1" xfId="1" applyFont="1" applyBorder="1">
      <alignment vertical="center"/>
    </xf>
    <xf numFmtId="179" fontId="24" fillId="0" borderId="3" xfId="0" applyNumberFormat="1" applyFont="1" applyBorder="1">
      <alignment vertical="center"/>
    </xf>
    <xf numFmtId="0" fontId="24" fillId="0" borderId="3" xfId="0" applyFont="1" applyBorder="1" applyAlignment="1">
      <alignment vertical="center" shrinkToFit="1"/>
    </xf>
    <xf numFmtId="0" fontId="24" fillId="0" borderId="3" xfId="0" applyFont="1" applyBorder="1" applyAlignment="1">
      <alignment horizontal="center" vertical="center"/>
    </xf>
    <xf numFmtId="176" fontId="24" fillId="0" borderId="3" xfId="0" applyNumberFormat="1" applyFont="1" applyBorder="1">
      <alignment vertical="center"/>
    </xf>
    <xf numFmtId="176" fontId="24" fillId="0" borderId="16" xfId="0" applyNumberFormat="1" applyFont="1" applyBorder="1">
      <alignment vertical="center"/>
    </xf>
    <xf numFmtId="179" fontId="24" fillId="0" borderId="14" xfId="0" applyNumberFormat="1" applyFont="1" applyBorder="1">
      <alignment vertical="center"/>
    </xf>
    <xf numFmtId="0" fontId="24" fillId="0" borderId="14" xfId="0" applyFont="1" applyBorder="1" applyAlignment="1">
      <alignment horizontal="center" vertical="center"/>
    </xf>
    <xf numFmtId="176" fontId="24" fillId="0" borderId="14" xfId="0" applyNumberFormat="1" applyFont="1" applyBorder="1">
      <alignment vertical="center"/>
    </xf>
    <xf numFmtId="176" fontId="24" fillId="0" borderId="15" xfId="0" applyNumberFormat="1" applyFont="1" applyBorder="1">
      <alignment vertical="center"/>
    </xf>
    <xf numFmtId="180" fontId="24" fillId="0" borderId="3" xfId="0" applyNumberFormat="1" applyFont="1" applyBorder="1">
      <alignment vertical="center"/>
    </xf>
    <xf numFmtId="0" fontId="44" fillId="0" borderId="3" xfId="0" applyFont="1" applyBorder="1" applyAlignment="1">
      <alignment vertical="center" shrinkToFit="1"/>
    </xf>
    <xf numFmtId="176" fontId="2" fillId="0" borderId="13" xfId="0" applyNumberFormat="1" applyFont="1" applyBorder="1">
      <alignment vertical="center"/>
    </xf>
    <xf numFmtId="0" fontId="2" fillId="0" borderId="3" xfId="0" applyFont="1" applyBorder="1" applyAlignment="1">
      <alignment horizontal="center" vertical="center"/>
    </xf>
    <xf numFmtId="183" fontId="2" fillId="0" borderId="3" xfId="0" applyNumberFormat="1" applyFont="1" applyBorder="1">
      <alignment vertical="center"/>
    </xf>
    <xf numFmtId="179" fontId="2" fillId="0" borderId="3" xfId="0" applyNumberFormat="1" applyFont="1" applyBorder="1">
      <alignment vertical="center"/>
    </xf>
    <xf numFmtId="191" fontId="41" fillId="0" borderId="3" xfId="0" applyNumberFormat="1" applyFont="1" applyBorder="1">
      <alignment vertical="center"/>
    </xf>
    <xf numFmtId="192" fontId="41" fillId="2" borderId="21" xfId="0" applyNumberFormat="1" applyFont="1" applyFill="1" applyBorder="1">
      <alignment vertical="center"/>
    </xf>
    <xf numFmtId="191" fontId="41" fillId="2" borderId="3" xfId="0" applyNumberFormat="1" applyFont="1" applyFill="1" applyBorder="1">
      <alignment vertical="center"/>
    </xf>
    <xf numFmtId="178" fontId="41" fillId="0" borderId="16" xfId="0" applyNumberFormat="1" applyFont="1" applyBorder="1">
      <alignment vertical="center"/>
    </xf>
    <xf numFmtId="178" fontId="41" fillId="0" borderId="3" xfId="0" applyNumberFormat="1" applyFont="1" applyBorder="1">
      <alignment vertical="center"/>
    </xf>
    <xf numFmtId="0" fontId="47" fillId="0" borderId="0" xfId="6" applyFont="1" applyAlignment="1">
      <alignment vertical="center" shrinkToFit="1"/>
    </xf>
    <xf numFmtId="0" fontId="47" fillId="0" borderId="0" xfId="6" applyFont="1" applyAlignment="1">
      <alignment horizontal="center" vertical="center" shrinkToFit="1"/>
    </xf>
    <xf numFmtId="184" fontId="47" fillId="0" borderId="0" xfId="6" applyNumberFormat="1" applyFont="1" applyAlignment="1">
      <alignment horizontal="center" vertical="center" shrinkToFit="1"/>
    </xf>
    <xf numFmtId="0" fontId="47" fillId="3" borderId="4" xfId="6" applyFont="1" applyFill="1" applyBorder="1" applyAlignment="1">
      <alignment horizontal="center" vertical="center" shrinkToFit="1"/>
    </xf>
    <xf numFmtId="184" fontId="47" fillId="0" borderId="0" xfId="6" applyNumberFormat="1" applyFont="1" applyAlignment="1">
      <alignment vertical="center" shrinkToFit="1"/>
    </xf>
    <xf numFmtId="0" fontId="50" fillId="0" borderId="16" xfId="6" applyFont="1" applyBorder="1" applyAlignment="1">
      <alignment horizontal="center" vertical="center" shrinkToFit="1"/>
    </xf>
    <xf numFmtId="0" fontId="47" fillId="0" borderId="0" xfId="6" applyFont="1" applyAlignment="1">
      <alignment horizontal="right" vertical="center" shrinkToFit="1"/>
    </xf>
    <xf numFmtId="193" fontId="47" fillId="0" borderId="0" xfId="6" applyNumberFormat="1" applyFont="1" applyAlignment="1">
      <alignment vertical="center" shrinkToFit="1"/>
    </xf>
    <xf numFmtId="194" fontId="47" fillId="0" borderId="0" xfId="6" applyNumberFormat="1" applyFont="1" applyAlignment="1">
      <alignment vertical="center" shrinkToFit="1"/>
    </xf>
    <xf numFmtId="0" fontId="47" fillId="0" borderId="20" xfId="6" applyFont="1" applyBorder="1" applyAlignment="1">
      <alignment vertical="center" shrinkToFit="1"/>
    </xf>
    <xf numFmtId="194" fontId="47" fillId="0" borderId="0" xfId="6" applyNumberFormat="1" applyFont="1" applyAlignment="1">
      <alignment horizontal="center" vertical="center" shrinkToFit="1"/>
    </xf>
    <xf numFmtId="0" fontId="47" fillId="0" borderId="21" xfId="6" applyFont="1" applyBorder="1" applyAlignment="1">
      <alignment vertical="center" shrinkToFit="1"/>
    </xf>
    <xf numFmtId="0" fontId="47" fillId="0" borderId="20" xfId="6" applyFont="1" applyBorder="1" applyAlignment="1">
      <alignment horizontal="center" vertical="center" shrinkToFit="1"/>
    </xf>
    <xf numFmtId="0" fontId="47" fillId="0" borderId="0" xfId="6" applyFont="1" applyAlignment="1">
      <alignment vertical="center"/>
    </xf>
    <xf numFmtId="194" fontId="47" fillId="0" borderId="0" xfId="6" applyNumberFormat="1" applyFont="1" applyAlignment="1">
      <alignment horizontal="left" vertical="center" shrinkToFit="1"/>
    </xf>
    <xf numFmtId="0" fontId="47" fillId="0" borderId="0" xfId="6" applyFont="1" applyAlignment="1">
      <alignment horizontal="center" vertical="center"/>
    </xf>
    <xf numFmtId="194" fontId="47" fillId="0" borderId="0" xfId="6" applyNumberFormat="1" applyFont="1" applyAlignment="1">
      <alignment horizontal="left" vertical="center" indent="1" shrinkToFit="1"/>
    </xf>
    <xf numFmtId="0" fontId="53" fillId="0" borderId="0" xfId="6" applyFont="1" applyAlignment="1">
      <alignment horizontal="center" vertical="center" shrinkToFit="1"/>
    </xf>
    <xf numFmtId="0" fontId="49" fillId="0" borderId="0" xfId="6" applyFont="1" applyAlignment="1">
      <alignment horizontal="center" vertical="center" shrinkToFit="1"/>
    </xf>
    <xf numFmtId="0" fontId="47" fillId="0" borderId="8" xfId="6" applyFont="1" applyBorder="1" applyAlignment="1">
      <alignment vertical="center" shrinkToFit="1"/>
    </xf>
    <xf numFmtId="0" fontId="47" fillId="0" borderId="9" xfId="6" applyFont="1" applyBorder="1" applyAlignment="1">
      <alignment vertical="center" shrinkToFit="1"/>
    </xf>
    <xf numFmtId="0" fontId="47" fillId="0" borderId="9" xfId="6" applyFont="1" applyBorder="1" applyAlignment="1">
      <alignment horizontal="center" vertical="center" shrinkToFit="1"/>
    </xf>
    <xf numFmtId="194" fontId="47" fillId="0" borderId="9" xfId="6" applyNumberFormat="1" applyFont="1" applyBorder="1" applyAlignment="1">
      <alignment horizontal="center" vertical="center" shrinkToFit="1"/>
    </xf>
    <xf numFmtId="194" fontId="47" fillId="0" borderId="9" xfId="6" applyNumberFormat="1" applyFont="1" applyBorder="1" applyAlignment="1">
      <alignment vertical="center" shrinkToFit="1"/>
    </xf>
    <xf numFmtId="0" fontId="47" fillId="0" borderId="9" xfId="6" applyFont="1" applyBorder="1" applyAlignment="1">
      <alignment horizontal="right" vertical="center" shrinkToFit="1"/>
    </xf>
    <xf numFmtId="0" fontId="47" fillId="0" borderId="10" xfId="6" applyFont="1" applyBorder="1" applyAlignment="1">
      <alignment vertical="center" shrinkToFit="1"/>
    </xf>
    <xf numFmtId="176" fontId="40" fillId="0" borderId="16" xfId="0" applyNumberFormat="1" applyFont="1" applyBorder="1">
      <alignment vertical="center"/>
    </xf>
    <xf numFmtId="179" fontId="8" fillId="0" borderId="4" xfId="0" quotePrefix="1" applyNumberFormat="1" applyFont="1" applyBorder="1" applyAlignment="1">
      <alignment horizontal="right" vertical="center"/>
    </xf>
    <xf numFmtId="0" fontId="55" fillId="0" borderId="0" xfId="0" applyFont="1">
      <alignment vertical="center"/>
    </xf>
    <xf numFmtId="0" fontId="5" fillId="0" borderId="20" xfId="0" applyFont="1" applyBorder="1" applyAlignment="1">
      <alignment horizontal="center" vertical="center"/>
    </xf>
    <xf numFmtId="0" fontId="57" fillId="0" borderId="0" xfId="0" applyFont="1">
      <alignment vertical="center"/>
    </xf>
    <xf numFmtId="0" fontId="8" fillId="0" borderId="13" xfId="0" applyFont="1" applyBorder="1" applyAlignment="1">
      <alignment horizontal="center" vertical="center" shrinkToFit="1"/>
    </xf>
    <xf numFmtId="0" fontId="56" fillId="0" borderId="13" xfId="0" applyFont="1" applyBorder="1" applyAlignment="1">
      <alignment vertical="center" shrinkToFit="1"/>
    </xf>
    <xf numFmtId="0" fontId="8" fillId="0" borderId="15" xfId="0" applyFont="1" applyBorder="1" applyAlignment="1">
      <alignment vertical="center" shrinkToFit="1"/>
    </xf>
    <xf numFmtId="176" fontId="21" fillId="0" borderId="2" xfId="0" applyNumberFormat="1" applyFont="1" applyBorder="1">
      <alignment vertical="center"/>
    </xf>
    <xf numFmtId="0" fontId="58" fillId="0" borderId="3" xfId="0" applyFont="1" applyBorder="1">
      <alignment vertical="center"/>
    </xf>
    <xf numFmtId="0" fontId="23" fillId="0" borderId="3" xfId="0" applyFont="1" applyBorder="1">
      <alignment vertical="center"/>
    </xf>
    <xf numFmtId="0" fontId="60" fillId="0" borderId="3" xfId="0" applyFont="1" applyBorder="1">
      <alignment vertical="center"/>
    </xf>
    <xf numFmtId="176" fontId="59" fillId="0" borderId="13" xfId="0" applyNumberFormat="1" applyFont="1" applyBorder="1">
      <alignment vertical="center"/>
    </xf>
    <xf numFmtId="0" fontId="59" fillId="0" borderId="3" xfId="0" applyFont="1" applyBorder="1" applyAlignment="1">
      <alignment horizontal="center" vertical="center"/>
    </xf>
    <xf numFmtId="176" fontId="59" fillId="0" borderId="16" xfId="0" applyNumberFormat="1" applyFont="1" applyBorder="1">
      <alignment vertical="center"/>
    </xf>
    <xf numFmtId="0" fontId="58" fillId="0" borderId="4" xfId="0" applyFont="1" applyBorder="1" applyAlignment="1">
      <alignment vertical="center" shrinkToFit="1"/>
    </xf>
    <xf numFmtId="176" fontId="59" fillId="0" borderId="3" xfId="0" applyNumberFormat="1" applyFont="1" applyBorder="1">
      <alignment vertical="center"/>
    </xf>
    <xf numFmtId="0" fontId="59" fillId="0" borderId="3" xfId="0" applyFont="1" applyBorder="1">
      <alignment vertical="center"/>
    </xf>
    <xf numFmtId="0" fontId="21" fillId="0" borderId="2" xfId="0" applyFont="1" applyBorder="1">
      <alignment vertical="center"/>
    </xf>
    <xf numFmtId="0" fontId="21" fillId="0" borderId="4" xfId="0" applyFont="1" applyBorder="1">
      <alignment vertical="center"/>
    </xf>
    <xf numFmtId="0" fontId="23" fillId="0" borderId="4" xfId="0" applyFont="1" applyBorder="1">
      <alignment vertical="center"/>
    </xf>
    <xf numFmtId="0" fontId="21" fillId="0" borderId="3" xfId="0" applyFont="1" applyBorder="1">
      <alignment vertical="center"/>
    </xf>
    <xf numFmtId="176" fontId="21" fillId="0" borderId="4" xfId="0" applyNumberFormat="1" applyFont="1" applyBorder="1">
      <alignment vertical="center"/>
    </xf>
    <xf numFmtId="0" fontId="21" fillId="0" borderId="4" xfId="0" applyFont="1" applyBorder="1" applyAlignment="1">
      <alignment horizontal="center" vertical="center"/>
    </xf>
    <xf numFmtId="183" fontId="21" fillId="0" borderId="4" xfId="0" applyNumberFormat="1" applyFont="1" applyBorder="1">
      <alignment vertical="center"/>
    </xf>
    <xf numFmtId="0" fontId="25" fillId="0" borderId="3" xfId="0" applyFont="1" applyBorder="1">
      <alignment vertical="center"/>
    </xf>
    <xf numFmtId="176" fontId="21" fillId="0" borderId="13" xfId="0" applyNumberFormat="1" applyFont="1" applyBorder="1">
      <alignment vertical="center"/>
    </xf>
    <xf numFmtId="0" fontId="21" fillId="0" borderId="3" xfId="0" applyFont="1" applyBorder="1" applyAlignment="1">
      <alignment horizontal="center" vertical="center"/>
    </xf>
    <xf numFmtId="183" fontId="21" fillId="0" borderId="3" xfId="0" applyNumberFormat="1" applyFont="1" applyBorder="1">
      <alignment vertical="center"/>
    </xf>
    <xf numFmtId="176" fontId="21" fillId="0" borderId="16" xfId="0" applyNumberFormat="1" applyFont="1" applyBorder="1">
      <alignment vertical="center"/>
    </xf>
    <xf numFmtId="179" fontId="21" fillId="0" borderId="4" xfId="0" applyNumberFormat="1" applyFont="1" applyBorder="1">
      <alignment vertical="center"/>
    </xf>
    <xf numFmtId="179" fontId="21" fillId="0" borderId="3" xfId="0" applyNumberFormat="1" applyFont="1" applyBorder="1">
      <alignment vertical="center"/>
    </xf>
    <xf numFmtId="176" fontId="21" fillId="0" borderId="3" xfId="0" applyNumberFormat="1" applyFont="1" applyBorder="1">
      <alignment vertical="center"/>
    </xf>
    <xf numFmtId="0" fontId="1" fillId="0" borderId="0" xfId="0" applyFont="1">
      <alignment vertical="center"/>
    </xf>
    <xf numFmtId="0" fontId="61" fillId="0" borderId="3" xfId="0" applyFont="1" applyBorder="1" applyAlignment="1">
      <alignment horizontal="center" vertical="center"/>
    </xf>
    <xf numFmtId="0" fontId="61" fillId="0" borderId="0" xfId="0" applyFont="1">
      <alignment vertical="center"/>
    </xf>
    <xf numFmtId="0" fontId="23" fillId="0" borderId="3" xfId="0" applyFont="1" applyBorder="1" applyAlignment="1">
      <alignment vertical="center" shrinkToFit="1"/>
    </xf>
    <xf numFmtId="0" fontId="0" fillId="0" borderId="73" xfId="0" applyBorder="1">
      <alignment vertical="center"/>
    </xf>
    <xf numFmtId="0" fontId="20" fillId="0" borderId="4" xfId="0" applyFont="1" applyBorder="1" applyAlignment="1">
      <alignment vertical="center" shrinkToFit="1"/>
    </xf>
    <xf numFmtId="0" fontId="36" fillId="0" borderId="3" xfId="0" applyFont="1" applyBorder="1" applyAlignment="1">
      <alignment vertical="center" shrinkToFit="1"/>
    </xf>
    <xf numFmtId="0" fontId="21" fillId="0" borderId="3" xfId="0" applyFont="1" applyBorder="1" applyAlignment="1">
      <alignment vertical="center" shrinkToFit="1"/>
    </xf>
    <xf numFmtId="0" fontId="20" fillId="0" borderId="3" xfId="0" applyFont="1" applyBorder="1" applyAlignment="1">
      <alignment vertical="center" shrinkToFit="1"/>
    </xf>
    <xf numFmtId="0" fontId="21" fillId="0" borderId="16" xfId="0" applyFont="1" applyBorder="1" applyAlignment="1">
      <alignment vertical="center" shrinkToFit="1"/>
    </xf>
    <xf numFmtId="0" fontId="20" fillId="0" borderId="12" xfId="0" applyFont="1" applyBorder="1" applyAlignment="1">
      <alignment vertical="center" shrinkToFit="1"/>
    </xf>
    <xf numFmtId="0" fontId="20" fillId="0" borderId="13" xfId="0" applyFont="1" applyBorder="1" applyAlignment="1">
      <alignment vertical="center" shrinkToFit="1"/>
    </xf>
    <xf numFmtId="0" fontId="20" fillId="0" borderId="2" xfId="0" applyFont="1" applyBorder="1" applyAlignment="1">
      <alignment vertical="center" shrinkToFit="1"/>
    </xf>
    <xf numFmtId="176" fontId="20" fillId="0" borderId="4" xfId="0" applyNumberFormat="1" applyFont="1" applyBorder="1" applyAlignment="1">
      <alignment vertical="center" shrinkToFit="1"/>
    </xf>
    <xf numFmtId="0" fontId="20" fillId="0" borderId="4" xfId="0" applyFont="1" applyBorder="1" applyAlignment="1">
      <alignment horizontal="center" vertical="center" shrinkToFit="1"/>
    </xf>
    <xf numFmtId="183" fontId="20" fillId="0" borderId="4" xfId="0" applyNumberFormat="1" applyFont="1" applyBorder="1" applyAlignment="1">
      <alignment vertical="center" shrinkToFit="1"/>
    </xf>
    <xf numFmtId="176" fontId="20" fillId="0" borderId="2" xfId="0" applyNumberFormat="1" applyFont="1" applyBorder="1" applyAlignment="1">
      <alignment vertical="center" shrinkToFit="1"/>
    </xf>
    <xf numFmtId="176" fontId="14" fillId="0" borderId="13" xfId="0" applyNumberFormat="1" applyFont="1" applyBorder="1" applyAlignment="1">
      <alignment vertical="center" shrinkToFit="1"/>
    </xf>
    <xf numFmtId="0" fontId="14" fillId="0" borderId="3" xfId="0" applyFont="1" applyBorder="1" applyAlignment="1">
      <alignment horizontal="center" vertical="center" shrinkToFit="1"/>
    </xf>
    <xf numFmtId="183" fontId="14" fillId="0" borderId="3" xfId="0" applyNumberFormat="1" applyFont="1" applyBorder="1" applyAlignment="1">
      <alignment vertical="center" shrinkToFit="1"/>
    </xf>
    <xf numFmtId="176" fontId="14" fillId="0" borderId="16" xfId="0" applyNumberFormat="1" applyFont="1" applyBorder="1" applyAlignment="1">
      <alignment vertical="center" shrinkToFit="1"/>
    </xf>
    <xf numFmtId="0" fontId="20" fillId="0" borderId="2" xfId="0" applyFont="1" applyBorder="1" applyAlignment="1">
      <alignment horizontal="right" vertical="center" shrinkToFit="1"/>
    </xf>
    <xf numFmtId="176" fontId="14" fillId="0" borderId="3" xfId="0" applyNumberFormat="1" applyFont="1" applyBorder="1" applyAlignment="1">
      <alignment vertical="center" shrinkToFit="1"/>
    </xf>
    <xf numFmtId="178" fontId="20" fillId="0" borderId="4" xfId="0" applyNumberFormat="1" applyFont="1" applyBorder="1" applyAlignment="1">
      <alignment vertical="center" shrinkToFit="1"/>
    </xf>
    <xf numFmtId="179" fontId="14" fillId="0" borderId="3" xfId="0" applyNumberFormat="1" applyFont="1" applyBorder="1" applyAlignment="1">
      <alignment vertical="center" shrinkToFit="1"/>
    </xf>
    <xf numFmtId="0" fontId="20" fillId="0" borderId="16" xfId="0" applyFont="1" applyBorder="1" applyAlignment="1">
      <alignment vertical="center" shrinkToFit="1"/>
    </xf>
    <xf numFmtId="176" fontId="14" fillId="0" borderId="12" xfId="0" applyNumberFormat="1" applyFont="1" applyBorder="1" applyAlignment="1">
      <alignment vertical="center" shrinkToFit="1"/>
    </xf>
    <xf numFmtId="179" fontId="20" fillId="0" borderId="4" xfId="0" applyNumberFormat="1" applyFont="1" applyBorder="1" applyAlignment="1">
      <alignment vertical="center" shrinkToFit="1"/>
    </xf>
    <xf numFmtId="176" fontId="21" fillId="0" borderId="4" xfId="0" applyNumberFormat="1" applyFont="1" applyBorder="1" applyAlignment="1">
      <alignment vertical="center" shrinkToFit="1"/>
    </xf>
    <xf numFmtId="176" fontId="20" fillId="0" borderId="3" xfId="0" applyNumberFormat="1" applyFont="1" applyBorder="1" applyAlignment="1">
      <alignment vertical="center" shrinkToFit="1"/>
    </xf>
    <xf numFmtId="0" fontId="20" fillId="0" borderId="3" xfId="0" applyFont="1" applyBorder="1" applyAlignment="1">
      <alignment horizontal="center" vertical="center" shrinkToFit="1"/>
    </xf>
    <xf numFmtId="0" fontId="20" fillId="0" borderId="3" xfId="0" applyFont="1" applyBorder="1" applyAlignment="1">
      <alignment horizontal="right" vertical="center" shrinkToFit="1"/>
    </xf>
    <xf numFmtId="176" fontId="20" fillId="7" borderId="4" xfId="0" applyNumberFormat="1" applyFont="1" applyFill="1" applyBorder="1" applyAlignment="1">
      <alignment vertical="center" shrinkToFit="1"/>
    </xf>
    <xf numFmtId="176" fontId="14" fillId="7" borderId="3" xfId="0" applyNumberFormat="1" applyFont="1" applyFill="1" applyBorder="1" applyAlignment="1">
      <alignment vertical="center" shrinkToFit="1"/>
    </xf>
    <xf numFmtId="176" fontId="20" fillId="7" borderId="71" xfId="0" applyNumberFormat="1" applyFont="1" applyFill="1" applyBorder="1" applyAlignment="1">
      <alignment vertical="center" shrinkToFit="1"/>
    </xf>
    <xf numFmtId="176" fontId="14" fillId="7" borderId="16" xfId="0" applyNumberFormat="1" applyFont="1" applyFill="1" applyBorder="1" applyAlignment="1">
      <alignment vertical="center" shrinkToFit="1"/>
    </xf>
    <xf numFmtId="0" fontId="21" fillId="0" borderId="2" xfId="0" applyFont="1" applyBorder="1" applyAlignment="1">
      <alignment horizontal="right" vertical="center"/>
    </xf>
    <xf numFmtId="0" fontId="2" fillId="0" borderId="16" xfId="0" applyFont="1" applyBorder="1" applyAlignment="1">
      <alignment horizontal="center" vertical="center"/>
    </xf>
    <xf numFmtId="0" fontId="35" fillId="0" borderId="9" xfId="0" applyFont="1" applyBorder="1">
      <alignment vertical="center"/>
    </xf>
    <xf numFmtId="0" fontId="34" fillId="0" borderId="9" xfId="0" applyFont="1" applyBorder="1">
      <alignment vertical="center"/>
    </xf>
    <xf numFmtId="0" fontId="34" fillId="0" borderId="9" xfId="0" applyFont="1" applyBorder="1" applyAlignment="1">
      <alignment horizontal="center" vertical="center"/>
    </xf>
    <xf numFmtId="0" fontId="12" fillId="0" borderId="0" xfId="0" applyFont="1" applyAlignment="1">
      <alignment horizontal="right" vertical="center" indent="2"/>
    </xf>
    <xf numFmtId="190"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39" fillId="0" borderId="17"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39" fillId="0" borderId="1" xfId="0" applyFont="1" applyBorder="1" applyAlignment="1">
      <alignment horizontal="center" vertical="center"/>
    </xf>
    <xf numFmtId="0" fontId="0" fillId="0" borderId="5" xfId="0" applyBorder="1" applyAlignment="1">
      <alignment horizontal="distributed" vertical="center"/>
    </xf>
    <xf numFmtId="0" fontId="0" fillId="0" borderId="9" xfId="0" applyBorder="1" applyAlignment="1">
      <alignment horizontal="distributed" vertical="center"/>
    </xf>
    <xf numFmtId="176" fontId="0" fillId="0" borderId="59" xfId="0" applyNumberFormat="1" applyBorder="1" applyAlignment="1">
      <alignment horizontal="right" vertical="center" indent="10"/>
    </xf>
    <xf numFmtId="176" fontId="0" fillId="0" borderId="60" xfId="0" applyNumberFormat="1" applyBorder="1" applyAlignment="1">
      <alignment horizontal="right" vertical="center" indent="10"/>
    </xf>
    <xf numFmtId="176" fontId="0" fillId="0" borderId="58" xfId="0" applyNumberFormat="1" applyBorder="1" applyAlignment="1">
      <alignment horizontal="right" vertical="center" indent="10"/>
    </xf>
    <xf numFmtId="176" fontId="0" fillId="0" borderId="61" xfId="0" applyNumberFormat="1" applyBorder="1" applyAlignment="1">
      <alignment horizontal="right" vertical="center" indent="10"/>
    </xf>
    <xf numFmtId="0" fontId="12" fillId="0" borderId="5" xfId="0" applyFont="1" applyBorder="1" applyAlignment="1">
      <alignment horizontal="center" vertical="center"/>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2" fillId="0" borderId="0" xfId="0" applyFont="1" applyAlignment="1">
      <alignment horizontal="center" vertical="center" shrinkToFit="1"/>
    </xf>
    <xf numFmtId="0" fontId="8" fillId="0" borderId="1" xfId="0" applyFont="1" applyBorder="1" applyAlignment="1">
      <alignment vertical="center" shrinkToFit="1"/>
    </xf>
    <xf numFmtId="0" fontId="0" fillId="0" borderId="1" xfId="0" applyBorder="1" applyAlignment="1">
      <alignment horizontal="center" vertical="center"/>
    </xf>
    <xf numFmtId="0" fontId="5" fillId="0" borderId="1" xfId="0" applyFont="1" applyBorder="1" applyAlignment="1">
      <alignment horizontal="center" vertical="center"/>
    </xf>
    <xf numFmtId="0" fontId="45" fillId="0" borderId="0" xfId="2" applyFont="1" applyFill="1" applyAlignment="1" applyProtection="1">
      <alignment horizontal="center" vertical="center"/>
    </xf>
    <xf numFmtId="0" fontId="46" fillId="0" borderId="0" xfId="6" applyFont="1" applyAlignment="1">
      <alignment vertical="center" shrinkToFit="1"/>
    </xf>
    <xf numFmtId="0" fontId="48" fillId="0" borderId="17" xfId="6" applyFont="1" applyBorder="1" applyAlignment="1">
      <alignment horizontal="left" vertical="center" indent="30" shrinkToFit="1"/>
    </xf>
    <xf numFmtId="0" fontId="48" fillId="0" borderId="25" xfId="6" applyFont="1" applyBorder="1" applyAlignment="1">
      <alignment horizontal="left" vertical="center" indent="30" shrinkToFit="1"/>
    </xf>
    <xf numFmtId="0" fontId="49" fillId="0" borderId="25" xfId="6" applyFont="1" applyBorder="1" applyAlignment="1">
      <alignment horizontal="right" vertical="center" shrinkToFit="1"/>
    </xf>
    <xf numFmtId="0" fontId="49" fillId="0" borderId="18" xfId="6" applyFont="1" applyBorder="1" applyAlignment="1">
      <alignment horizontal="right" vertical="center" shrinkToFit="1"/>
    </xf>
    <xf numFmtId="0" fontId="47" fillId="0" borderId="1" xfId="6" applyFont="1" applyBorder="1" applyAlignment="1">
      <alignment horizontal="center" vertical="center" shrinkToFit="1"/>
    </xf>
    <xf numFmtId="0" fontId="47" fillId="3" borderId="4" xfId="6" applyFont="1" applyFill="1" applyBorder="1" applyAlignment="1">
      <alignment horizontal="center" vertical="center" shrinkToFit="1"/>
    </xf>
    <xf numFmtId="0" fontId="47" fillId="3" borderId="4" xfId="6" applyFont="1" applyFill="1" applyBorder="1" applyAlignment="1">
      <alignment horizontal="right" vertical="center" indent="1" shrinkToFit="1"/>
    </xf>
    <xf numFmtId="0" fontId="47" fillId="3" borderId="4" xfId="6" applyFont="1" applyFill="1" applyBorder="1" applyAlignment="1">
      <alignment horizontal="left" vertical="center" indent="1" shrinkToFit="1"/>
    </xf>
    <xf numFmtId="0" fontId="50" fillId="0" borderId="16" xfId="6" applyFont="1" applyBorder="1" applyAlignment="1">
      <alignment horizontal="left" vertical="center" indent="1" shrinkToFit="1"/>
    </xf>
    <xf numFmtId="184" fontId="47" fillId="3" borderId="4" xfId="6" applyNumberFormat="1" applyFont="1" applyFill="1" applyBorder="1" applyAlignment="1">
      <alignment horizontal="right" vertical="center" indent="1" shrinkToFit="1"/>
    </xf>
    <xf numFmtId="194" fontId="47" fillId="3" borderId="4" xfId="6" applyNumberFormat="1" applyFont="1" applyFill="1" applyBorder="1" applyAlignment="1">
      <alignment horizontal="right" vertical="center" indent="1" shrinkToFit="1"/>
    </xf>
    <xf numFmtId="0" fontId="47" fillId="0" borderId="16" xfId="6" applyFont="1" applyBorder="1" applyAlignment="1">
      <alignment horizontal="center" vertical="center" shrinkToFit="1"/>
    </xf>
    <xf numFmtId="184" fontId="50" fillId="0" borderId="16" xfId="6" applyNumberFormat="1" applyFont="1" applyBorder="1" applyAlignment="1">
      <alignment horizontal="right" vertical="center" indent="1" shrinkToFit="1"/>
    </xf>
    <xf numFmtId="0" fontId="50" fillId="0" borderId="16" xfId="6" applyFont="1" applyBorder="1" applyAlignment="1">
      <alignment horizontal="right" vertical="center" indent="1" shrinkToFit="1"/>
    </xf>
    <xf numFmtId="0" fontId="47" fillId="0" borderId="16" xfId="6" applyFont="1" applyBorder="1" applyAlignment="1">
      <alignment horizontal="left" vertical="center" indent="1" shrinkToFit="1"/>
    </xf>
    <xf numFmtId="194" fontId="50" fillId="0" borderId="16" xfId="6" applyNumberFormat="1" applyFont="1" applyBorder="1" applyAlignment="1">
      <alignment horizontal="right" vertical="center" indent="1" shrinkToFit="1"/>
    </xf>
    <xf numFmtId="183" fontId="47" fillId="3" borderId="4" xfId="6" applyNumberFormat="1" applyFont="1" applyFill="1" applyBorder="1" applyAlignment="1">
      <alignment horizontal="right" vertical="center" shrinkToFit="1"/>
    </xf>
    <xf numFmtId="183" fontId="50" fillId="0" borderId="8" xfId="6" applyNumberFormat="1" applyFont="1" applyBorder="1" applyAlignment="1">
      <alignment horizontal="right" vertical="center" shrinkToFit="1"/>
    </xf>
    <xf numFmtId="183" fontId="50" fillId="0" borderId="9" xfId="6" applyNumberFormat="1" applyFont="1" applyBorder="1" applyAlignment="1">
      <alignment horizontal="right" vertical="center" shrinkToFit="1"/>
    </xf>
    <xf numFmtId="183" fontId="50" fillId="0" borderId="10" xfId="6" applyNumberFormat="1" applyFont="1" applyBorder="1" applyAlignment="1">
      <alignment horizontal="right" vertical="center" shrinkToFit="1"/>
    </xf>
    <xf numFmtId="193" fontId="47" fillId="3" borderId="4" xfId="6" applyNumberFormat="1" applyFont="1" applyFill="1" applyBorder="1" applyAlignment="1">
      <alignment horizontal="right" vertical="center" indent="1" shrinkToFit="1"/>
    </xf>
    <xf numFmtId="193" fontId="50" fillId="0" borderId="16" xfId="6" applyNumberFormat="1" applyFont="1" applyBorder="1" applyAlignment="1">
      <alignment horizontal="right" vertical="center" indent="1" shrinkToFit="1"/>
    </xf>
    <xf numFmtId="0" fontId="51" fillId="0" borderId="6" xfId="6" applyFont="1" applyBorder="1" applyAlignment="1">
      <alignment horizontal="distributed" vertical="center" indent="15" shrinkToFit="1"/>
    </xf>
    <xf numFmtId="0" fontId="51" fillId="0" borderId="5" xfId="6" applyFont="1" applyBorder="1" applyAlignment="1">
      <alignment horizontal="distributed" vertical="center" indent="15" shrinkToFit="1"/>
    </xf>
    <xf numFmtId="0" fontId="51" fillId="0" borderId="7" xfId="6" applyFont="1" applyBorder="1" applyAlignment="1">
      <alignment horizontal="distributed" vertical="center" indent="15" shrinkToFit="1"/>
    </xf>
    <xf numFmtId="0" fontId="51" fillId="0" borderId="20" xfId="6" applyFont="1" applyBorder="1" applyAlignment="1">
      <alignment horizontal="distributed" vertical="center" indent="15" shrinkToFit="1"/>
    </xf>
    <xf numFmtId="0" fontId="51" fillId="0" borderId="0" xfId="6" applyFont="1" applyAlignment="1">
      <alignment horizontal="distributed" vertical="center" indent="15" shrinkToFit="1"/>
    </xf>
    <xf numFmtId="0" fontId="51" fillId="0" borderId="21" xfId="6" applyFont="1" applyBorder="1" applyAlignment="1">
      <alignment horizontal="distributed" vertical="center" indent="15" shrinkToFit="1"/>
    </xf>
    <xf numFmtId="0" fontId="51" fillId="0" borderId="8" xfId="6" applyFont="1" applyBorder="1" applyAlignment="1">
      <alignment horizontal="distributed" vertical="center" indent="15" shrinkToFit="1"/>
    </xf>
    <xf numFmtId="0" fontId="51" fillId="0" borderId="9" xfId="6" applyFont="1" applyBorder="1" applyAlignment="1">
      <alignment horizontal="distributed" vertical="center" indent="15" shrinkToFit="1"/>
    </xf>
    <xf numFmtId="0" fontId="51" fillId="0" borderId="10" xfId="6" applyFont="1" applyBorder="1" applyAlignment="1">
      <alignment horizontal="distributed" vertical="center" indent="15" shrinkToFit="1"/>
    </xf>
    <xf numFmtId="0" fontId="47" fillId="0" borderId="0" xfId="6" applyFont="1" applyAlignment="1">
      <alignment horizontal="left" vertical="center"/>
    </xf>
    <xf numFmtId="194" fontId="47" fillId="0" borderId="0" xfId="6" applyNumberFormat="1" applyFont="1" applyAlignment="1">
      <alignment horizontal="right" vertical="center" shrinkToFit="1"/>
    </xf>
    <xf numFmtId="38" fontId="47" fillId="0" borderId="0" xfId="7" applyFont="1" applyFill="1" applyBorder="1" applyAlignment="1">
      <alignment horizontal="right" vertical="center" shrinkToFit="1"/>
    </xf>
    <xf numFmtId="0" fontId="47" fillId="0" borderId="0" xfId="6" applyFont="1" applyAlignment="1">
      <alignment vertical="center"/>
    </xf>
    <xf numFmtId="0" fontId="54" fillId="0" borderId="0" xfId="6" applyFont="1" applyAlignment="1">
      <alignment horizontal="left" vertical="center"/>
    </xf>
    <xf numFmtId="38" fontId="47" fillId="0" borderId="0" xfId="7" applyFont="1" applyFill="1" applyBorder="1" applyAlignment="1">
      <alignment horizontal="right" vertical="center" indent="2" shrinkToFit="1"/>
    </xf>
    <xf numFmtId="0" fontId="47" fillId="0" borderId="0" xfId="6" applyFont="1" applyAlignment="1">
      <alignment horizontal="center" vertical="center" shrinkToFit="1"/>
    </xf>
    <xf numFmtId="38" fontId="47" fillId="0" borderId="9" xfId="7" applyFont="1" applyFill="1" applyBorder="1" applyAlignment="1">
      <alignment horizontal="right" vertical="center" indent="2" shrinkToFit="1"/>
    </xf>
    <xf numFmtId="0" fontId="47" fillId="0" borderId="9" xfId="6" applyFont="1"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176" fontId="39" fillId="0" borderId="2" xfId="0" applyNumberFormat="1" applyFont="1" applyBorder="1" applyAlignment="1">
      <alignment horizontal="center" vertical="center"/>
    </xf>
    <xf numFmtId="176" fontId="39" fillId="0" borderId="3" xfId="0" applyNumberFormat="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176" fontId="39" fillId="0" borderId="8" xfId="0" applyNumberFormat="1" applyFont="1" applyBorder="1" applyAlignment="1">
      <alignment horizontal="center" vertical="center"/>
    </xf>
    <xf numFmtId="0" fontId="20" fillId="0" borderId="5"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9" xfId="0" applyFont="1" applyBorder="1">
      <alignment vertical="center"/>
    </xf>
    <xf numFmtId="0" fontId="20" fillId="0" borderId="10" xfId="0" applyFont="1" applyBorder="1">
      <alignment vertical="center"/>
    </xf>
    <xf numFmtId="0" fontId="0" fillId="0" borderId="5" xfId="0" applyBorder="1">
      <alignment vertical="center"/>
    </xf>
    <xf numFmtId="0" fontId="0" fillId="0" borderId="20" xfId="0" applyBorder="1">
      <alignment vertical="center"/>
    </xf>
    <xf numFmtId="0" fontId="0" fillId="0" borderId="9" xfId="0" applyBorder="1">
      <alignment vertical="center"/>
    </xf>
    <xf numFmtId="176" fontId="39" fillId="0" borderId="6" xfId="0" applyNumberFormat="1" applyFont="1" applyBorder="1" applyAlignment="1">
      <alignment horizontal="center" vertical="center"/>
    </xf>
    <xf numFmtId="0" fontId="0" fillId="0" borderId="6" xfId="0" applyBorder="1" applyAlignment="1">
      <alignment vertical="center" wrapText="1"/>
    </xf>
    <xf numFmtId="0" fontId="5"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12" fillId="0" borderId="9" xfId="0" applyFont="1" applyBorder="1" applyAlignment="1">
      <alignment horizontal="center" vertical="center"/>
    </xf>
    <xf numFmtId="0" fontId="39" fillId="0" borderId="62" xfId="0" applyFont="1" applyBorder="1" applyAlignment="1">
      <alignment horizontal="center" vertical="center"/>
    </xf>
    <xf numFmtId="0" fontId="39" fillId="0" borderId="63" xfId="0" applyFont="1" applyBorder="1" applyAlignment="1">
      <alignment horizontal="center" vertical="center"/>
    </xf>
    <xf numFmtId="0" fontId="39" fillId="0" borderId="64" xfId="0" applyFont="1" applyBorder="1" applyAlignment="1">
      <alignment horizontal="center" vertical="center"/>
    </xf>
    <xf numFmtId="0" fontId="39" fillId="0" borderId="65" xfId="0" applyFont="1" applyBorder="1" applyAlignment="1">
      <alignment horizontal="center" vertical="center"/>
    </xf>
    <xf numFmtId="0" fontId="39" fillId="0" borderId="66" xfId="0" applyFont="1" applyBorder="1" applyAlignment="1">
      <alignment horizontal="center" vertical="center"/>
    </xf>
    <xf numFmtId="0" fontId="39" fillId="0" borderId="67" xfId="0" applyFont="1" applyBorder="1" applyAlignment="1">
      <alignment horizontal="center" vertical="center"/>
    </xf>
    <xf numFmtId="0" fontId="39" fillId="0" borderId="68" xfId="0" applyFont="1" applyBorder="1" applyAlignment="1">
      <alignment horizontal="center" vertical="center"/>
    </xf>
    <xf numFmtId="0" fontId="39" fillId="0" borderId="69" xfId="0" applyFont="1" applyBorder="1" applyAlignment="1">
      <alignment horizontal="center" vertical="center"/>
    </xf>
    <xf numFmtId="0" fontId="39" fillId="0" borderId="70" xfId="0" applyFont="1" applyBorder="1" applyAlignment="1">
      <alignment horizontal="center" vertical="center"/>
    </xf>
    <xf numFmtId="0" fontId="39" fillId="2" borderId="6" xfId="0" applyFont="1" applyFill="1" applyBorder="1">
      <alignment vertical="center"/>
    </xf>
    <xf numFmtId="0" fontId="39" fillId="2" borderId="20" xfId="0" applyFont="1" applyFill="1" applyBorder="1">
      <alignment vertical="center"/>
    </xf>
    <xf numFmtId="0" fontId="39" fillId="2" borderId="8" xfId="0" applyFont="1" applyFill="1" applyBorder="1">
      <alignment vertical="center"/>
    </xf>
    <xf numFmtId="0" fontId="39" fillId="0" borderId="2" xfId="0" applyFont="1" applyBorder="1">
      <alignment vertical="center"/>
    </xf>
    <xf numFmtId="0" fontId="39" fillId="0" borderId="3" xfId="0" applyFont="1" applyBorder="1">
      <alignment vertical="center"/>
    </xf>
    <xf numFmtId="0" fontId="39" fillId="2" borderId="7" xfId="0" applyFont="1" applyFill="1" applyBorder="1">
      <alignment vertical="center"/>
    </xf>
    <xf numFmtId="0" fontId="39" fillId="2" borderId="10" xfId="0" applyFont="1" applyFill="1" applyBorder="1">
      <alignment vertical="center"/>
    </xf>
    <xf numFmtId="0" fontId="20" fillId="0" borderId="0" xfId="0" applyFont="1">
      <alignment vertical="center"/>
    </xf>
    <xf numFmtId="0" fontId="20" fillId="0" borderId="21" xfId="0" applyFont="1" applyBorder="1">
      <alignment vertical="center"/>
    </xf>
    <xf numFmtId="0" fontId="37" fillId="0" borderId="0" xfId="0" applyFont="1" applyAlignment="1">
      <alignment horizontal="center" vertical="center"/>
    </xf>
    <xf numFmtId="0" fontId="22" fillId="0" borderId="0" xfId="0" applyFont="1" applyAlignment="1">
      <alignment horizontal="center" vertical="center"/>
    </xf>
    <xf numFmtId="0" fontId="0" fillId="0" borderId="11" xfId="0"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9" fillId="0" borderId="2" xfId="0" applyFont="1" applyBorder="1">
      <alignment vertical="center"/>
    </xf>
    <xf numFmtId="0" fontId="9" fillId="0" borderId="3" xfId="0" applyFont="1" applyBorder="1">
      <alignment vertical="center"/>
    </xf>
    <xf numFmtId="0" fontId="8" fillId="0" borderId="14" xfId="0" applyFont="1" applyBorder="1">
      <alignment vertical="center"/>
    </xf>
    <xf numFmtId="0" fontId="9" fillId="0" borderId="14" xfId="0" applyFont="1" applyBorder="1">
      <alignment vertical="center"/>
    </xf>
    <xf numFmtId="0" fontId="8" fillId="0" borderId="2" xfId="0" applyFont="1" applyBorder="1" applyAlignment="1">
      <alignment vertical="center" wrapText="1"/>
    </xf>
    <xf numFmtId="0" fontId="9" fillId="0" borderId="2" xfId="0" applyFont="1" applyBorder="1" applyAlignment="1">
      <alignment vertical="center" wrapText="1"/>
    </xf>
    <xf numFmtId="0" fontId="8" fillId="0" borderId="3" xfId="0" applyFont="1" applyBorder="1" applyAlignment="1">
      <alignment vertical="center" wrapText="1"/>
    </xf>
    <xf numFmtId="0" fontId="9" fillId="0" borderId="3" xfId="0" applyFont="1" applyBorder="1" applyAlignment="1">
      <alignment vertical="center" wrapText="1"/>
    </xf>
    <xf numFmtId="0" fontId="8" fillId="0" borderId="12" xfId="0" applyFont="1" applyBorder="1">
      <alignment vertical="center"/>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10" fillId="0" borderId="6"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177" fontId="11" fillId="0" borderId="5" xfId="0" applyNumberFormat="1" applyFont="1" applyBorder="1" applyAlignment="1">
      <alignment horizontal="center" vertical="center"/>
    </xf>
    <xf numFmtId="177" fontId="11" fillId="0" borderId="9" xfId="0" applyNumberFormat="1" applyFont="1" applyBorder="1" applyAlignment="1">
      <alignment horizontal="center" vertical="center"/>
    </xf>
    <xf numFmtId="0" fontId="6" fillId="0" borderId="7" xfId="0" applyFont="1" applyBorder="1" applyAlignment="1">
      <alignment horizontal="right" vertical="center" wrapText="1" indent="1"/>
    </xf>
    <xf numFmtId="0" fontId="7" fillId="0" borderId="10" xfId="0" applyFont="1" applyBorder="1" applyAlignment="1">
      <alignment horizontal="right" vertical="center" indent="1"/>
    </xf>
    <xf numFmtId="0" fontId="8" fillId="0" borderId="12" xfId="0" applyFont="1" applyBorder="1" applyAlignment="1">
      <alignment vertical="center" wrapText="1"/>
    </xf>
    <xf numFmtId="0" fontId="9" fillId="0" borderId="12" xfId="0" applyFont="1" applyBorder="1" applyAlignment="1">
      <alignment vertical="center" wrapText="1"/>
    </xf>
    <xf numFmtId="0" fontId="7" fillId="0" borderId="2" xfId="0" applyFont="1" applyBorder="1" applyAlignment="1">
      <alignment vertical="center" wrapText="1"/>
    </xf>
    <xf numFmtId="0" fontId="7" fillId="0" borderId="3" xfId="0" applyFont="1" applyBorder="1">
      <alignment vertical="center"/>
    </xf>
    <xf numFmtId="0" fontId="7" fillId="0" borderId="3" xfId="0" applyFont="1" applyBorder="1" applyAlignment="1">
      <alignment vertical="center" wrapText="1"/>
    </xf>
    <xf numFmtId="0" fontId="9" fillId="0" borderId="19" xfId="0" applyFont="1" applyBorder="1" applyAlignment="1">
      <alignment vertical="center" wrapText="1"/>
    </xf>
    <xf numFmtId="0" fontId="11" fillId="0" borderId="5" xfId="0" applyFont="1" applyBorder="1" applyAlignment="1">
      <alignment horizontal="center" vertical="center" shrinkToFit="1"/>
    </xf>
    <xf numFmtId="0" fontId="11" fillId="0" borderId="9"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2" xfId="0" applyFont="1" applyBorder="1">
      <alignment vertical="center"/>
    </xf>
    <xf numFmtId="0" fontId="5" fillId="0" borderId="3" xfId="0" applyFont="1" applyBorder="1">
      <alignment vertical="center"/>
    </xf>
    <xf numFmtId="181" fontId="5" fillId="0" borderId="2" xfId="0" applyNumberFormat="1" applyFont="1" applyBorder="1" applyAlignment="1">
      <alignment horizontal="center" vertical="center"/>
    </xf>
    <xf numFmtId="181" fontId="5" fillId="0" borderId="3" xfId="0" applyNumberFormat="1" applyFont="1" applyBorder="1" applyAlignment="1">
      <alignment horizontal="center" vertical="center"/>
    </xf>
    <xf numFmtId="0" fontId="5" fillId="0" borderId="20" xfId="0" applyFont="1" applyBorder="1">
      <alignment vertical="center"/>
    </xf>
    <xf numFmtId="0" fontId="5" fillId="0" borderId="8" xfId="0" applyFont="1" applyBorder="1">
      <alignment vertical="center"/>
    </xf>
    <xf numFmtId="0" fontId="5" fillId="0" borderId="19" xfId="0" applyFont="1" applyBorder="1" applyAlignment="1">
      <alignment horizontal="center" vertical="center" wrapText="1" shrinkToFit="1"/>
    </xf>
    <xf numFmtId="0" fontId="5" fillId="0" borderId="12" xfId="0" applyFont="1" applyBorder="1" applyAlignment="1">
      <alignment vertical="center" wrapText="1"/>
    </xf>
    <xf numFmtId="181" fontId="5" fillId="0" borderId="19" xfId="0" applyNumberFormat="1" applyFont="1" applyBorder="1" applyAlignment="1">
      <alignment horizontal="center" vertical="center"/>
    </xf>
    <xf numFmtId="181" fontId="5" fillId="0" borderId="12" xfId="0" applyNumberFormat="1" applyFont="1" applyBorder="1" applyAlignment="1">
      <alignment horizontal="center" vertical="center"/>
    </xf>
    <xf numFmtId="0" fontId="10" fillId="0" borderId="5" xfId="0" applyFont="1" applyBorder="1" applyAlignment="1">
      <alignment horizontal="center" vertical="center"/>
    </xf>
    <xf numFmtId="0" fontId="6" fillId="0" borderId="7" xfId="0" applyFont="1" applyBorder="1" applyAlignment="1">
      <alignment horizontal="right" vertical="center" wrapText="1"/>
    </xf>
    <xf numFmtId="0" fontId="7" fillId="0" borderId="10" xfId="0" applyFont="1" applyBorder="1" applyAlignment="1">
      <alignment horizontal="right" vertical="center"/>
    </xf>
    <xf numFmtId="0" fontId="5" fillId="0" borderId="2"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25" xfId="0" applyFont="1" applyBorder="1" applyAlignment="1">
      <alignment horizontal="center"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8" fillId="0" borderId="20" xfId="0" applyFont="1" applyBorder="1">
      <alignment vertical="center"/>
    </xf>
    <xf numFmtId="0" fontId="8" fillId="0" borderId="8" xfId="0" applyFont="1" applyBorder="1">
      <alignment vertical="center"/>
    </xf>
    <xf numFmtId="0" fontId="9" fillId="0" borderId="0" xfId="0" applyFont="1">
      <alignment vertical="center"/>
    </xf>
    <xf numFmtId="0" fontId="8" fillId="0" borderId="0" xfId="0" applyFont="1">
      <alignment vertical="center"/>
    </xf>
    <xf numFmtId="0" fontId="8" fillId="0" borderId="9" xfId="0" applyFont="1" applyBorder="1">
      <alignment vertical="center"/>
    </xf>
    <xf numFmtId="0" fontId="8" fillId="0" borderId="6" xfId="0" applyFont="1" applyBorder="1">
      <alignment vertical="center"/>
    </xf>
    <xf numFmtId="0" fontId="9" fillId="0" borderId="5" xfId="0" applyFont="1" applyBorder="1">
      <alignment vertical="center"/>
    </xf>
    <xf numFmtId="0" fontId="11" fillId="0" borderId="5" xfId="0" applyFont="1" applyBorder="1" applyAlignment="1">
      <alignment horizontal="center" vertical="center" wrapText="1"/>
    </xf>
    <xf numFmtId="0" fontId="6" fillId="0" borderId="10" xfId="0" applyFont="1" applyBorder="1" applyAlignment="1">
      <alignment horizontal="right" vertical="center" wrapText="1" indent="1"/>
    </xf>
    <xf numFmtId="0" fontId="24" fillId="0" borderId="19" xfId="0" applyFont="1" applyBorder="1">
      <alignment vertical="center"/>
    </xf>
    <xf numFmtId="0" fontId="24" fillId="0" borderId="3" xfId="0" applyFont="1" applyBorder="1">
      <alignment vertical="center"/>
    </xf>
    <xf numFmtId="0" fontId="32" fillId="0" borderId="19" xfId="0" applyFont="1" applyBorder="1">
      <alignment vertical="center"/>
    </xf>
    <xf numFmtId="0" fontId="32" fillId="0" borderId="3" xfId="0" applyFont="1" applyBorder="1">
      <alignment vertical="center"/>
    </xf>
    <xf numFmtId="0" fontId="24" fillId="0" borderId="2" xfId="0" applyFont="1" applyBorder="1">
      <alignment vertical="center"/>
    </xf>
    <xf numFmtId="0" fontId="32" fillId="0" borderId="2" xfId="0" applyFont="1" applyBorder="1">
      <alignment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0" borderId="29" xfId="4" applyFont="1" applyBorder="1">
      <alignment vertical="center"/>
    </xf>
    <xf numFmtId="0" fontId="9" fillId="0" borderId="0" xfId="4" applyFont="1">
      <alignment vertical="center"/>
    </xf>
    <xf numFmtId="0" fontId="9" fillId="0" borderId="21" xfId="4" applyFont="1" applyBorder="1">
      <alignment vertical="center"/>
    </xf>
    <xf numFmtId="0" fontId="22" fillId="0" borderId="0" xfId="4" applyFont="1" applyAlignment="1">
      <alignment horizontal="center" vertical="center"/>
    </xf>
    <xf numFmtId="0" fontId="9" fillId="0" borderId="31" xfId="4" applyFont="1" applyBorder="1">
      <alignment vertical="center"/>
    </xf>
    <xf numFmtId="0" fontId="26" fillId="4" borderId="17" xfId="4" applyFont="1" applyFill="1" applyBorder="1" applyAlignment="1">
      <alignment horizontal="center" vertical="center"/>
    </xf>
    <xf numFmtId="0" fontId="26" fillId="4" borderId="25" xfId="4" applyFont="1" applyFill="1" applyBorder="1" applyAlignment="1">
      <alignment horizontal="center" vertical="center"/>
    </xf>
    <xf numFmtId="0" fontId="26" fillId="4" borderId="18" xfId="4" applyFont="1" applyFill="1" applyBorder="1" applyAlignment="1">
      <alignment horizontal="center" vertical="center"/>
    </xf>
    <xf numFmtId="0" fontId="21" fillId="4" borderId="20" xfId="4" applyFont="1" applyFill="1" applyBorder="1" applyAlignment="1">
      <alignment horizontal="center" vertical="center"/>
    </xf>
    <xf numFmtId="0" fontId="21" fillId="4" borderId="0" xfId="4" applyFont="1" applyFill="1" applyAlignment="1">
      <alignment horizontal="center" vertical="center"/>
    </xf>
    <xf numFmtId="0" fontId="21" fillId="4" borderId="21" xfId="4" applyFont="1" applyFill="1" applyBorder="1" applyAlignment="1">
      <alignment horizontal="center" vertical="center"/>
    </xf>
    <xf numFmtId="0" fontId="26" fillId="4" borderId="17" xfId="4" applyFont="1" applyFill="1" applyBorder="1" applyAlignment="1">
      <alignment horizontal="center" vertical="center" shrinkToFit="1"/>
    </xf>
    <xf numFmtId="0" fontId="26" fillId="4" borderId="25" xfId="4" applyFont="1" applyFill="1" applyBorder="1" applyAlignment="1">
      <alignment horizontal="center" vertical="center" shrinkToFit="1"/>
    </xf>
    <xf numFmtId="0" fontId="26" fillId="4" borderId="18" xfId="4" applyFont="1" applyFill="1" applyBorder="1" applyAlignment="1">
      <alignment horizontal="center" vertical="center" shrinkToFit="1"/>
    </xf>
    <xf numFmtId="0" fontId="33" fillId="0" borderId="29" xfId="4" applyFont="1" applyBorder="1">
      <alignment vertical="center"/>
    </xf>
    <xf numFmtId="0" fontId="33" fillId="0" borderId="31" xfId="4" applyFont="1" applyBorder="1">
      <alignment vertical="center"/>
    </xf>
    <xf numFmtId="0" fontId="21" fillId="4" borderId="6" xfId="4" applyFont="1" applyFill="1" applyBorder="1" applyAlignment="1">
      <alignment horizontal="center" vertical="center"/>
    </xf>
    <xf numFmtId="0" fontId="21" fillId="4" borderId="5" xfId="4" applyFont="1" applyFill="1" applyBorder="1" applyAlignment="1">
      <alignment horizontal="center" vertical="center"/>
    </xf>
    <xf numFmtId="0" fontId="21" fillId="4" borderId="7" xfId="4" applyFont="1" applyFill="1" applyBorder="1" applyAlignment="1">
      <alignment horizontal="center" vertical="center"/>
    </xf>
    <xf numFmtId="0" fontId="23" fillId="0" borderId="0" xfId="4" applyFont="1" applyAlignment="1">
      <alignment horizontal="center" vertical="center"/>
    </xf>
    <xf numFmtId="0" fontId="23" fillId="0" borderId="21" xfId="4" applyFont="1" applyBorder="1" applyAlignment="1">
      <alignment horizontal="center" vertical="center"/>
    </xf>
    <xf numFmtId="0" fontId="23" fillId="0" borderId="32" xfId="4" applyFont="1" applyBorder="1" applyAlignment="1">
      <alignment horizontal="center" vertical="center"/>
    </xf>
    <xf numFmtId="0" fontId="23" fillId="0" borderId="51" xfId="4" applyFont="1" applyBorder="1" applyAlignment="1">
      <alignment horizontal="center" vertical="center"/>
    </xf>
    <xf numFmtId="0" fontId="23" fillId="0" borderId="0" xfId="4" applyFont="1" applyAlignment="1">
      <alignment horizontal="right" vertical="center"/>
    </xf>
    <xf numFmtId="0" fontId="23" fillId="0" borderId="21" xfId="4" applyFont="1" applyBorder="1" applyAlignment="1">
      <alignment horizontal="right" vertical="center"/>
    </xf>
    <xf numFmtId="0" fontId="32" fillId="4" borderId="0" xfId="4" applyFont="1" applyFill="1" applyAlignment="1">
      <alignment vertical="center" shrinkToFit="1"/>
    </xf>
    <xf numFmtId="0" fontId="32" fillId="4" borderId="21" xfId="4" applyFont="1" applyFill="1" applyBorder="1" applyAlignment="1">
      <alignment vertical="center" shrinkToFit="1"/>
    </xf>
    <xf numFmtId="187" fontId="32" fillId="4" borderId="9" xfId="4" applyNumberFormat="1" applyFont="1" applyFill="1" applyBorder="1">
      <alignment vertical="center"/>
    </xf>
    <xf numFmtId="187" fontId="32" fillId="4" borderId="10" xfId="4" applyNumberFormat="1" applyFont="1" applyFill="1" applyBorder="1">
      <alignment vertical="center"/>
    </xf>
    <xf numFmtId="0" fontId="25" fillId="4" borderId="6" xfId="4" applyFont="1" applyFill="1" applyBorder="1" applyAlignment="1">
      <alignment horizontal="center" vertical="center" wrapText="1"/>
    </xf>
    <xf numFmtId="0" fontId="25" fillId="4" borderId="5" xfId="4" applyFont="1" applyFill="1" applyBorder="1" applyAlignment="1">
      <alignment horizontal="center" vertical="center" wrapText="1"/>
    </xf>
    <xf numFmtId="0" fontId="25" fillId="4" borderId="7" xfId="4" applyFont="1" applyFill="1" applyBorder="1" applyAlignment="1">
      <alignment horizontal="center" vertical="center" wrapText="1"/>
    </xf>
    <xf numFmtId="0" fontId="25" fillId="4" borderId="8" xfId="4" applyFont="1" applyFill="1" applyBorder="1" applyAlignment="1">
      <alignment horizontal="center" vertical="center" wrapText="1"/>
    </xf>
    <xf numFmtId="0" fontId="25" fillId="4" borderId="9" xfId="4" applyFont="1" applyFill="1" applyBorder="1" applyAlignment="1">
      <alignment horizontal="center" vertical="center" wrapText="1"/>
    </xf>
    <xf numFmtId="0" fontId="25" fillId="4" borderId="10" xfId="4" applyFont="1" applyFill="1" applyBorder="1" applyAlignment="1">
      <alignment horizontal="center" vertical="center" wrapText="1"/>
    </xf>
    <xf numFmtId="0" fontId="25" fillId="0" borderId="29" xfId="4" applyFont="1" applyBorder="1">
      <alignment vertical="center"/>
    </xf>
    <xf numFmtId="0" fontId="25" fillId="0" borderId="31" xfId="4" applyFont="1" applyBorder="1">
      <alignment vertical="center"/>
    </xf>
    <xf numFmtId="0" fontId="9" fillId="0" borderId="12" xfId="0" applyFont="1" applyBorder="1" applyAlignment="1">
      <alignment vertical="center" shrinkToFit="1"/>
    </xf>
    <xf numFmtId="0" fontId="9" fillId="0" borderId="3" xfId="0" applyFont="1" applyBorder="1" applyAlignment="1">
      <alignment vertical="center" shrinkToFit="1"/>
    </xf>
    <xf numFmtId="181" fontId="9" fillId="0" borderId="2" xfId="0" applyNumberFormat="1" applyFont="1" applyBorder="1" applyAlignment="1">
      <alignment horizontal="center" vertical="center"/>
    </xf>
    <xf numFmtId="181" fontId="9" fillId="0" borderId="3" xfId="0" applyNumberFormat="1" applyFont="1" applyBorder="1" applyAlignment="1">
      <alignment horizontal="center" vertical="center"/>
    </xf>
    <xf numFmtId="0" fontId="9" fillId="0" borderId="12" xfId="0" applyFont="1" applyBorder="1" applyAlignment="1">
      <alignment vertical="center" wrapText="1" shrinkToFit="1"/>
    </xf>
    <xf numFmtId="0" fontId="9" fillId="0" borderId="19" xfId="0" applyFont="1" applyBorder="1" applyAlignment="1">
      <alignment vertical="center" wrapText="1" shrinkToFit="1"/>
    </xf>
    <xf numFmtId="0" fontId="9" fillId="0" borderId="3" xfId="0" applyFont="1" applyBorder="1" applyAlignment="1">
      <alignment vertical="center" wrapText="1" shrinkToFit="1"/>
    </xf>
    <xf numFmtId="181" fontId="9" fillId="0" borderId="19" xfId="0" applyNumberFormat="1" applyFont="1" applyBorder="1" applyAlignment="1">
      <alignment horizontal="center" vertical="center"/>
    </xf>
    <xf numFmtId="181" fontId="9" fillId="0" borderId="12" xfId="0" applyNumberFormat="1" applyFont="1" applyBorder="1" applyAlignment="1">
      <alignment horizontal="center" vertical="center"/>
    </xf>
    <xf numFmtId="0" fontId="9" fillId="0" borderId="2" xfId="0" applyFont="1" applyBorder="1" applyAlignment="1">
      <alignment horizontal="center" vertical="center"/>
    </xf>
    <xf numFmtId="0" fontId="9" fillId="0" borderId="14" xfId="0" applyFont="1" applyBorder="1" applyAlignment="1">
      <alignment horizontal="center" vertical="center"/>
    </xf>
    <xf numFmtId="0" fontId="4" fillId="0" borderId="2"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5" fillId="0" borderId="2" xfId="0" applyFont="1" applyBorder="1" applyAlignment="1">
      <alignment horizontal="center" vertical="center" wrapText="1"/>
    </xf>
    <xf numFmtId="0" fontId="8" fillId="0" borderId="19" xfId="0" applyFont="1" applyBorder="1">
      <alignment vertical="center"/>
    </xf>
    <xf numFmtId="0" fontId="23" fillId="0" borderId="57" xfId="4" applyFont="1" applyBorder="1" applyAlignment="1">
      <alignment horizontal="center" vertical="center"/>
    </xf>
    <xf numFmtId="0" fontId="9" fillId="0" borderId="12" xfId="0" applyFont="1" applyBorder="1">
      <alignment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4" fillId="0" borderId="2" xfId="0" applyFont="1" applyBorder="1">
      <alignment vertical="center"/>
    </xf>
    <xf numFmtId="0" fontId="4" fillId="0" borderId="12" xfId="0" applyFont="1" applyBorder="1">
      <alignment vertical="center"/>
    </xf>
    <xf numFmtId="0" fontId="4" fillId="0" borderId="3" xfId="0" applyFont="1" applyBorder="1">
      <alignment vertical="center"/>
    </xf>
    <xf numFmtId="0" fontId="32" fillId="0" borderId="12" xfId="0" applyFont="1" applyBorder="1">
      <alignment vertical="center"/>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38" fillId="0" borderId="2" xfId="0" applyFont="1" applyBorder="1">
      <alignment vertical="center"/>
    </xf>
    <xf numFmtId="0" fontId="38" fillId="0" borderId="12" xfId="0" applyFont="1" applyBorder="1">
      <alignment vertical="center"/>
    </xf>
    <xf numFmtId="0" fontId="38" fillId="0" borderId="3" xfId="0" applyFont="1" applyBorder="1">
      <alignment vertical="center"/>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9" fillId="5" borderId="1" xfId="0" applyFont="1" applyFill="1" applyBorder="1" applyAlignment="1">
      <alignment horizontal="center" vertical="center"/>
    </xf>
    <xf numFmtId="0" fontId="9" fillId="0" borderId="17" xfId="0" applyFont="1" applyBorder="1" applyAlignment="1">
      <alignment horizontal="center"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cellXfs>
  <cellStyles count="8">
    <cellStyle name="ハイパーリンク" xfId="2" builtinId="8"/>
    <cellStyle name="桁区切り" xfId="1" builtinId="6"/>
    <cellStyle name="桁区切り 2 3" xfId="7" xr:uid="{00000000-0005-0000-0000-000002000000}"/>
    <cellStyle name="標準" xfId="0" builtinId="0"/>
    <cellStyle name="標準 2" xfId="3" xr:uid="{00000000-0005-0000-0000-000004000000}"/>
    <cellStyle name="標準 2 2" xfId="4" xr:uid="{00000000-0005-0000-0000-000005000000}"/>
    <cellStyle name="標準 2 2 2" xfId="6" xr:uid="{00000000-0005-0000-0000-000006000000}"/>
    <cellStyle name="標準 7" xfId="5" xr:uid="{00000000-0005-0000-0000-000007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136071</xdr:colOff>
      <xdr:row>23</xdr:row>
      <xdr:rowOff>27214</xdr:rowOff>
    </xdr:from>
    <xdr:to>
      <xdr:col>9</xdr:col>
      <xdr:colOff>462643</xdr:colOff>
      <xdr:row>29</xdr:row>
      <xdr:rowOff>57150</xdr:rowOff>
    </xdr:to>
    <xdr:sp macro="" textlink="">
      <xdr:nvSpPr>
        <xdr:cNvPr id="2" name="テキスト ボックス 1">
          <a:extLst>
            <a:ext uri="{FF2B5EF4-FFF2-40B4-BE49-F238E27FC236}">
              <a16:creationId xmlns:a16="http://schemas.microsoft.com/office/drawing/2014/main" id="{C93F9A3F-D34D-4B2F-AEF8-E7A8F9A1703B}"/>
            </a:ext>
          </a:extLst>
        </xdr:cNvPr>
        <xdr:cNvSpPr txBox="1"/>
      </xdr:nvSpPr>
      <xdr:spPr>
        <a:xfrm>
          <a:off x="136071" y="5504089"/>
          <a:ext cx="6498772" cy="1458686"/>
        </a:xfrm>
        <a:prstGeom prst="rect">
          <a:avLst/>
        </a:prstGeom>
        <a:solidFill>
          <a:sysClr val="window" lastClr="FFFFFF"/>
        </a:solidFill>
        <a:ln w="9525" cap="flat" cmpd="sng" algn="ctr">
          <a:solidFill>
            <a:sysClr val="window" lastClr="FFFFFF">
              <a:lumMod val="50000"/>
            </a:sysClr>
          </a:solidFill>
          <a:prstDash val="solid"/>
        </a:ln>
        <a:effectLst/>
      </xdr:spPr>
      <xdr:txBody>
        <a:bodyPr wrap="square"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BIZ UDP明朝 Medium" panose="02020500000000000000" pitchFamily="18" charset="-128"/>
              <a:ea typeface="BIZ UDP明朝 Medium" panose="02020500000000000000" pitchFamily="18" charset="-128"/>
            </a:rPr>
            <a:t>※</a:t>
          </a:r>
          <a:r>
            <a:rPr kumimoji="1" lang="ja-JP" altLang="en-US" sz="1050" b="0" i="0" u="none" strike="noStrike" kern="0" cap="none" spc="0" normalizeH="0" baseline="0">
              <a:ln>
                <a:noFill/>
              </a:ln>
              <a:solidFill>
                <a:sysClr val="windowText" lastClr="000000"/>
              </a:solidFill>
              <a:effectLst/>
              <a:uLnTx/>
              <a:uFillTx/>
              <a:latin typeface="BIZ UDP明朝 Medium" panose="02020500000000000000" pitchFamily="18" charset="-128"/>
              <a:ea typeface="BIZ UDP明朝 Medium" panose="02020500000000000000" pitchFamily="18" charset="-128"/>
            </a:rPr>
            <a:t>積算上の留意点</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BIZ UDP明朝 Medium" panose="02020500000000000000" pitchFamily="18" charset="-128"/>
              <a:ea typeface="BIZ UDP明朝 Medium" panose="02020500000000000000" pitchFamily="18" charset="-128"/>
            </a:rPr>
            <a:t>　数量公開に伴う数量は参考数量であって、設計書ではありません。内容の如何にかかわらず、契約上何等の約束をするものではありません。　数量内訳書の内容に疑問のある場合は、質問日に「数量内訳書に関する質問書」を作成し、上下水道部総務課契約検査室に提出してください。</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BIZ UDP明朝 Medium" panose="02020500000000000000" pitchFamily="18" charset="-128"/>
              <a:ea typeface="BIZ UDP明朝 Medium" panose="02020500000000000000" pitchFamily="18" charset="-128"/>
            </a:rPr>
            <a:t>　「数量内訳書に関する質問書」を提出する場合は、公開範囲内の内訳書及びその根拠となる資料を添付して下さい。根拠となる資料とは、部位別、階別の集計表です。添付資料のない「数量内訳書に関する質問書」は受付できません。</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BIZ UDP明朝 Medium" panose="02020500000000000000" pitchFamily="18" charset="-128"/>
              <a:ea typeface="BIZ UDP明朝 Medium" panose="02020500000000000000" pitchFamily="18" charset="-128"/>
            </a:rPr>
            <a:t>　「数量内訳書に関する質問書」の質問内容によっては、追加資料の提出を求める場合があります。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28575</xdr:colOff>
      <xdr:row>46</xdr:row>
      <xdr:rowOff>190500</xdr:rowOff>
    </xdr:from>
    <xdr:to>
      <xdr:col>20</xdr:col>
      <xdr:colOff>390525</xdr:colOff>
      <xdr:row>48</xdr:row>
      <xdr:rowOff>28575</xdr:rowOff>
    </xdr:to>
    <xdr:sp macro="" textlink="">
      <xdr:nvSpPr>
        <xdr:cNvPr id="2" name="楕円 1">
          <a:extLst>
            <a:ext uri="{FF2B5EF4-FFF2-40B4-BE49-F238E27FC236}">
              <a16:creationId xmlns:a16="http://schemas.microsoft.com/office/drawing/2014/main" id="{00000000-0008-0000-0900-000002000000}"/>
            </a:ext>
          </a:extLst>
        </xdr:cNvPr>
        <xdr:cNvSpPr>
          <a:spLocks noChangeArrowheads="1"/>
        </xdr:cNvSpPr>
      </xdr:nvSpPr>
      <xdr:spPr bwMode="auto">
        <a:xfrm>
          <a:off x="8601075" y="2914650"/>
          <a:ext cx="361950" cy="2571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49</xdr:row>
      <xdr:rowOff>11206</xdr:rowOff>
    </xdr:from>
    <xdr:to>
      <xdr:col>9</xdr:col>
      <xdr:colOff>11206</xdr:colOff>
      <xdr:row>51</xdr:row>
      <xdr:rowOff>0</xdr:rowOff>
    </xdr:to>
    <xdr:cxnSp macro="">
      <xdr:nvCxnSpPr>
        <xdr:cNvPr id="2" name="直線コネクタ 1">
          <a:extLst>
            <a:ext uri="{FF2B5EF4-FFF2-40B4-BE49-F238E27FC236}">
              <a16:creationId xmlns:a16="http://schemas.microsoft.com/office/drawing/2014/main" id="{00000000-0008-0000-1700-000002000000}"/>
            </a:ext>
          </a:extLst>
        </xdr:cNvPr>
        <xdr:cNvCxnSpPr/>
      </xdr:nvCxnSpPr>
      <xdr:spPr>
        <a:xfrm flipV="1">
          <a:off x="3571875" y="11698381"/>
          <a:ext cx="4849906" cy="4650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107156</xdr:colOff>
      <xdr:row>6</xdr:row>
      <xdr:rowOff>160734</xdr:rowOff>
    </xdr:from>
    <xdr:to>
      <xdr:col>20</xdr:col>
      <xdr:colOff>107156</xdr:colOff>
      <xdr:row>8</xdr:row>
      <xdr:rowOff>1190</xdr:rowOff>
    </xdr:to>
    <xdr:sp macro="" textlink="">
      <xdr:nvSpPr>
        <xdr:cNvPr id="2" name="Line 1">
          <a:extLst>
            <a:ext uri="{FF2B5EF4-FFF2-40B4-BE49-F238E27FC236}">
              <a16:creationId xmlns:a16="http://schemas.microsoft.com/office/drawing/2014/main" id="{00000000-0008-0000-2200-000002000000}"/>
            </a:ext>
          </a:extLst>
        </xdr:cNvPr>
        <xdr:cNvSpPr>
          <a:spLocks noChangeShapeType="1"/>
        </xdr:cNvSpPr>
      </xdr:nvSpPr>
      <xdr:spPr bwMode="auto">
        <a:xfrm flipV="1">
          <a:off x="3860006" y="1132284"/>
          <a:ext cx="0" cy="164306"/>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0</xdr:rowOff>
    </xdr:from>
    <xdr:to>
      <xdr:col>9</xdr:col>
      <xdr:colOff>0</xdr:colOff>
      <xdr:row>22</xdr:row>
      <xdr:rowOff>0</xdr:rowOff>
    </xdr:to>
    <xdr:sp macro="" textlink="">
      <xdr:nvSpPr>
        <xdr:cNvPr id="3" name="Line 33">
          <a:extLst>
            <a:ext uri="{FF2B5EF4-FFF2-40B4-BE49-F238E27FC236}">
              <a16:creationId xmlns:a16="http://schemas.microsoft.com/office/drawing/2014/main" id="{00000000-0008-0000-2200-000003000000}"/>
            </a:ext>
          </a:extLst>
        </xdr:cNvPr>
        <xdr:cNvSpPr>
          <a:spLocks noChangeShapeType="1"/>
        </xdr:cNvSpPr>
      </xdr:nvSpPr>
      <xdr:spPr bwMode="auto">
        <a:xfrm>
          <a:off x="2390775" y="340042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18</xdr:col>
      <xdr:colOff>0</xdr:colOff>
      <xdr:row>21</xdr:row>
      <xdr:rowOff>0</xdr:rowOff>
    </xdr:from>
    <xdr:to>
      <xdr:col>18</xdr:col>
      <xdr:colOff>0</xdr:colOff>
      <xdr:row>22</xdr:row>
      <xdr:rowOff>0</xdr:rowOff>
    </xdr:to>
    <xdr:sp macro="" textlink="">
      <xdr:nvSpPr>
        <xdr:cNvPr id="4" name="Line 34">
          <a:extLst>
            <a:ext uri="{FF2B5EF4-FFF2-40B4-BE49-F238E27FC236}">
              <a16:creationId xmlns:a16="http://schemas.microsoft.com/office/drawing/2014/main" id="{00000000-0008-0000-2200-000004000000}"/>
            </a:ext>
          </a:extLst>
        </xdr:cNvPr>
        <xdr:cNvSpPr>
          <a:spLocks noChangeShapeType="1"/>
        </xdr:cNvSpPr>
      </xdr:nvSpPr>
      <xdr:spPr bwMode="auto">
        <a:xfrm>
          <a:off x="3619500" y="340042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editAs="oneCell">
    <xdr:from>
      <xdr:col>25</xdr:col>
      <xdr:colOff>24848</xdr:colOff>
      <xdr:row>4</xdr:row>
      <xdr:rowOff>155239</xdr:rowOff>
    </xdr:from>
    <xdr:to>
      <xdr:col>42</xdr:col>
      <xdr:colOff>2617</xdr:colOff>
      <xdr:row>20</xdr:row>
      <xdr:rowOff>24849</xdr:rowOff>
    </xdr:to>
    <xdr:pic>
      <xdr:nvPicPr>
        <xdr:cNvPr id="8" name="図 7">
          <a:extLst>
            <a:ext uri="{FF2B5EF4-FFF2-40B4-BE49-F238E27FC236}">
              <a16:creationId xmlns:a16="http://schemas.microsoft.com/office/drawing/2014/main" id="{00000000-0008-0000-2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7652" y="817848"/>
          <a:ext cx="2429422" cy="2520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485775</xdr:colOff>
      <xdr:row>35</xdr:row>
      <xdr:rowOff>95250</xdr:rowOff>
    </xdr:from>
    <xdr:to>
      <xdr:col>5</xdr:col>
      <xdr:colOff>1487260</xdr:colOff>
      <xdr:row>46</xdr:row>
      <xdr:rowOff>57150</xdr:rowOff>
    </xdr:to>
    <xdr:pic>
      <xdr:nvPicPr>
        <xdr:cNvPr id="3" name="図 7">
          <a:extLst>
            <a:ext uri="{FF2B5EF4-FFF2-40B4-BE49-F238E27FC236}">
              <a16:creationId xmlns:a16="http://schemas.microsoft.com/office/drawing/2014/main" id="{00000000-0008-0000-24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364"/>
        <a:stretch/>
      </xdr:blipFill>
      <xdr:spPr bwMode="auto">
        <a:xfrm>
          <a:off x="2743200" y="8448675"/>
          <a:ext cx="3648075"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657225</xdr:colOff>
      <xdr:row>35</xdr:row>
      <xdr:rowOff>9525</xdr:rowOff>
    </xdr:from>
    <xdr:to>
      <xdr:col>12</xdr:col>
      <xdr:colOff>1209675</xdr:colOff>
      <xdr:row>46</xdr:row>
      <xdr:rowOff>57150</xdr:rowOff>
    </xdr:to>
    <xdr:pic>
      <xdr:nvPicPr>
        <xdr:cNvPr id="4" name="図 8">
          <a:extLst>
            <a:ext uri="{FF2B5EF4-FFF2-40B4-BE49-F238E27FC236}">
              <a16:creationId xmlns:a16="http://schemas.microsoft.com/office/drawing/2014/main" id="{00000000-0008-0000-2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15625" y="8362950"/>
          <a:ext cx="3209925"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952500</xdr:colOff>
      <xdr:row>49</xdr:row>
      <xdr:rowOff>22412</xdr:rowOff>
    </xdr:from>
    <xdr:to>
      <xdr:col>9</xdr:col>
      <xdr:colOff>22411</xdr:colOff>
      <xdr:row>52</xdr:row>
      <xdr:rowOff>224117</xdr:rowOff>
    </xdr:to>
    <xdr:cxnSp macro="">
      <xdr:nvCxnSpPr>
        <xdr:cNvPr id="2" name="直線コネクタ 1">
          <a:extLst>
            <a:ext uri="{FF2B5EF4-FFF2-40B4-BE49-F238E27FC236}">
              <a16:creationId xmlns:a16="http://schemas.microsoft.com/office/drawing/2014/main" id="{00000000-0008-0000-2700-000002000000}"/>
            </a:ext>
          </a:extLst>
        </xdr:cNvPr>
        <xdr:cNvCxnSpPr/>
      </xdr:nvCxnSpPr>
      <xdr:spPr>
        <a:xfrm flipV="1">
          <a:off x="3562350" y="11690537"/>
          <a:ext cx="4870636" cy="9160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107156</xdr:colOff>
      <xdr:row>6</xdr:row>
      <xdr:rowOff>160734</xdr:rowOff>
    </xdr:from>
    <xdr:to>
      <xdr:col>20</xdr:col>
      <xdr:colOff>107156</xdr:colOff>
      <xdr:row>8</xdr:row>
      <xdr:rowOff>1190</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flipV="1">
          <a:off x="4012406" y="1132284"/>
          <a:ext cx="0" cy="164306"/>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0</xdr:rowOff>
    </xdr:from>
    <xdr:to>
      <xdr:col>9</xdr:col>
      <xdr:colOff>0</xdr:colOff>
      <xdr:row>22</xdr:row>
      <xdr:rowOff>0</xdr:rowOff>
    </xdr:to>
    <xdr:sp macro="" textlink="">
      <xdr:nvSpPr>
        <xdr:cNvPr id="3" name="Line 33">
          <a:extLst>
            <a:ext uri="{FF2B5EF4-FFF2-40B4-BE49-F238E27FC236}">
              <a16:creationId xmlns:a16="http://schemas.microsoft.com/office/drawing/2014/main" id="{00000000-0008-0000-2B00-000003000000}"/>
            </a:ext>
          </a:extLst>
        </xdr:cNvPr>
        <xdr:cNvSpPr>
          <a:spLocks noChangeShapeType="1"/>
        </xdr:cNvSpPr>
      </xdr:nvSpPr>
      <xdr:spPr bwMode="auto">
        <a:xfrm>
          <a:off x="2543175" y="340042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18</xdr:col>
      <xdr:colOff>0</xdr:colOff>
      <xdr:row>21</xdr:row>
      <xdr:rowOff>0</xdr:rowOff>
    </xdr:from>
    <xdr:to>
      <xdr:col>18</xdr:col>
      <xdr:colOff>0</xdr:colOff>
      <xdr:row>22</xdr:row>
      <xdr:rowOff>0</xdr:rowOff>
    </xdr:to>
    <xdr:sp macro="" textlink="">
      <xdr:nvSpPr>
        <xdr:cNvPr id="4" name="Line 34">
          <a:extLst>
            <a:ext uri="{FF2B5EF4-FFF2-40B4-BE49-F238E27FC236}">
              <a16:creationId xmlns:a16="http://schemas.microsoft.com/office/drawing/2014/main" id="{00000000-0008-0000-2B00-000004000000}"/>
            </a:ext>
          </a:extLst>
        </xdr:cNvPr>
        <xdr:cNvSpPr>
          <a:spLocks noChangeShapeType="1"/>
        </xdr:cNvSpPr>
      </xdr:nvSpPr>
      <xdr:spPr bwMode="auto">
        <a:xfrm>
          <a:off x="3771900" y="340042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editAs="oneCell">
    <xdr:from>
      <xdr:col>46</xdr:col>
      <xdr:colOff>99390</xdr:colOff>
      <xdr:row>7</xdr:row>
      <xdr:rowOff>80930</xdr:rowOff>
    </xdr:from>
    <xdr:to>
      <xdr:col>51</xdr:col>
      <xdr:colOff>347868</xdr:colOff>
      <xdr:row>22</xdr:row>
      <xdr:rowOff>46798</xdr:rowOff>
    </xdr:to>
    <xdr:pic>
      <xdr:nvPicPr>
        <xdr:cNvPr id="5" name="図 4">
          <a:extLst>
            <a:ext uri="{FF2B5EF4-FFF2-40B4-BE49-F238E27FC236}">
              <a16:creationId xmlns:a16="http://schemas.microsoft.com/office/drawing/2014/main" id="{00000000-0008-0000-2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4365" y="1214405"/>
          <a:ext cx="2391603" cy="2394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41413</xdr:colOff>
      <xdr:row>5</xdr:row>
      <xdr:rowOff>157370</xdr:rowOff>
    </xdr:from>
    <xdr:to>
      <xdr:col>40</xdr:col>
      <xdr:colOff>255114</xdr:colOff>
      <xdr:row>19</xdr:row>
      <xdr:rowOff>41939</xdr:rowOff>
    </xdr:to>
    <xdr:pic>
      <xdr:nvPicPr>
        <xdr:cNvPr id="6" name="図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2"/>
        <a:stretch>
          <a:fillRect/>
        </a:stretch>
      </xdr:blipFill>
      <xdr:spPr>
        <a:xfrm>
          <a:off x="4775338" y="966995"/>
          <a:ext cx="2233001" cy="21515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4037;&#21209;&#20418;\&#12295;&#26757;&#27941;\504-1-25&#12288;&#21152;&#33538;&#12288;&#27738;&#27700;4044-1&#21495;&#26032;&#35373;&#24037;&#20107;\&#28186;&#12398;&#20132;&#30058;&#12288;&#35336;&#31639;&#26360;&#12288;&#21332;&#35696;&#12288;&#22259;&#38754;\&#35336;&#31639;&#26360;\&#28186;&#12398;&#20132;&#30058;(&#21336;&#29420;)&#25968;&#37327;&#32207;&#25324;&#349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4037;&#21209;&#20418;\&#12295;&#26757;&#27941;\&#9678;R2&#24180;&#24230;%20&#23436;&#20102;&#26696;&#20214;&#9678;\502-1-51&#12288;&#39640;&#22338;&#12288;&#35373;&#35336;&#26032;\&#9678;&#26368;&#32066;&#35373;&#35336;&#22793;&#26356;&#9678;\&#39640;&#22338;&#12288;&#26368;&#32066;&#22793;&#26356;\&#9678;&#26368;&#32066;&#22793;&#26356;&#12288;&#27770;&#23450;\R2&#39640;&#22338;(&#35036;&#21161;)&#25968;&#37327;&#32207;&#25324;&#349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4037;&#21209;&#20418;\&#12295;&#26757;&#27941;\&#9632;&#26494;&#28006;&#8594;&#21462;&#20184;&#31649;&#32294;&#25512;&#36914;&#21442;&#32771;\429&#19979;&#24029;&#65289;02.&#25968;&#37327;&#32207;&#25324;&#34920;(&#25512;&#36914;&#65381;&#24403;&#65381;&#3503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Yaso/Desktop/H28&#19979;&#27700;&#36947;&#24037;&#20107;/H28&#30333;&#23665;&#23455;&#26045;/&#25968;&#37327;/02&#25512;&#36914;&#12539;&#31435;&#22353;&#25968;&#3732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Yaso/Desktop/01&#25968;&#37327;&#32207;&#25324;&#34920;&#65288;&#25512;&#36914;&#6528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P2948/Desktop/&#9733;&#28165;&#27700;&#8215;23-1&#21495;MP/00_&#26045;&#34892;&#32076;&#36027;&#20869;&#35379;&#26360;&#12539;&#27010;&#35201;&#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24037;&#21209;&#20418;\&#12295;&#26757;&#27941;\&#9675;00-0&#9679;&#32207;&#21512;MP&#35373;&#3533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総"/>
      <sheetName val="数"/>
      <sheetName val="(集)素"/>
      <sheetName val="素"/>
      <sheetName val="数 "/>
      <sheetName val="防護処理工"/>
      <sheetName val="取推"/>
      <sheetName val="(集)建"/>
      <sheetName val="(集)建1"/>
      <sheetName val="1M"/>
      <sheetName val="副×"/>
      <sheetName val="管(VR)"/>
      <sheetName val="管(VU)"/>
      <sheetName val="小"/>
      <sheetName val="(集)ま素"/>
      <sheetName val="ま素"/>
      <sheetName val="(集)ま建×"/>
      <sheetName val="ま建×"/>
      <sheetName val="交"/>
      <sheetName val="(工)建"/>
      <sheetName val="(工)素"/>
      <sheetName val="工(ま素)"/>
      <sheetName val="(工)ま建×"/>
      <sheetName val="(工)M舗"/>
      <sheetName val="建賃"/>
      <sheetName val="試掘"/>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3">
          <cell r="A3" t="str">
            <v xml:space="preserve"> </v>
          </cell>
          <cell r="O3" t="str">
            <v xml:space="preserve"> </v>
          </cell>
          <cell r="AC3" t="str">
            <v xml:space="preserve"> </v>
          </cell>
          <cell r="AG3" t="str">
            <v>　</v>
          </cell>
        </row>
        <row r="4">
          <cell r="A4" t="str">
            <v>VUφ100</v>
          </cell>
          <cell r="O4" t="str">
            <v>塩ビMH</v>
          </cell>
          <cell r="AC4" t="str">
            <v>市道N2</v>
          </cell>
          <cell r="AG4" t="str">
            <v>BH0.13m3</v>
          </cell>
        </row>
        <row r="5">
          <cell r="A5" t="str">
            <v>VUφ150</v>
          </cell>
          <cell r="O5" t="str">
            <v>1号MH</v>
          </cell>
          <cell r="AC5" t="str">
            <v>市道N3</v>
          </cell>
          <cell r="AG5" t="str">
            <v>BH0.28m3</v>
          </cell>
        </row>
        <row r="6">
          <cell r="A6" t="str">
            <v>VUφ200</v>
          </cell>
          <cell r="O6" t="str">
            <v>2号MH</v>
          </cell>
          <cell r="AC6" t="str">
            <v>市道N4</v>
          </cell>
          <cell r="AG6" t="str">
            <v>BH0.45m3</v>
          </cell>
        </row>
        <row r="7">
          <cell r="A7" t="str">
            <v>VUφ250</v>
          </cell>
          <cell r="O7" t="str">
            <v>3号MH</v>
          </cell>
          <cell r="AC7" t="str">
            <v>市道N5</v>
          </cell>
          <cell r="AG7" t="str">
            <v>BH0.80m3</v>
          </cell>
        </row>
        <row r="8">
          <cell r="A8" t="str">
            <v>VRφ150</v>
          </cell>
          <cell r="AC8" t="str">
            <v>市道歩道</v>
          </cell>
          <cell r="AG8" t="str">
            <v>人力</v>
          </cell>
        </row>
        <row r="9">
          <cell r="A9" t="str">
            <v>VRφ200</v>
          </cell>
          <cell r="AC9" t="str">
            <v>県道N4</v>
          </cell>
        </row>
        <row r="10">
          <cell r="A10" t="str">
            <v>VRφ250</v>
          </cell>
          <cell r="AC10" t="str">
            <v>県道N5</v>
          </cell>
        </row>
        <row r="11">
          <cell r="A11" t="str">
            <v>PEφ50</v>
          </cell>
          <cell r="AC11" t="str">
            <v>県道N6</v>
          </cell>
        </row>
        <row r="12">
          <cell r="A12" t="str">
            <v>PEφ75</v>
          </cell>
          <cell r="AC12" t="str">
            <v>県道歩道</v>
          </cell>
        </row>
        <row r="13">
          <cell r="A13" t="str">
            <v>PEφ100</v>
          </cell>
          <cell r="AC13" t="str">
            <v>国道車道</v>
          </cell>
        </row>
        <row r="14">
          <cell r="A14" t="str">
            <v>PEφ150</v>
          </cell>
          <cell r="AC14" t="str">
            <v>国道歩道</v>
          </cell>
        </row>
        <row r="15">
          <cell r="A15" t="str">
            <v>PEφ200</v>
          </cell>
          <cell r="AC15" t="str">
            <v>国道歩道(乗)</v>
          </cell>
        </row>
        <row r="16">
          <cell r="A16" t="str">
            <v>PEφ250</v>
          </cell>
          <cell r="AC16" t="str">
            <v>法定外As</v>
          </cell>
        </row>
        <row r="17">
          <cell r="A17" t="str">
            <v>SGPφ350</v>
          </cell>
          <cell r="AC17" t="str">
            <v>法定外Co</v>
          </cell>
        </row>
        <row r="18">
          <cell r="A18" t="str">
            <v>SGPφ400</v>
          </cell>
          <cell r="AC18" t="str">
            <v>砂利道</v>
          </cell>
        </row>
        <row r="19">
          <cell r="A19" t="str">
            <v>HPφ250</v>
          </cell>
          <cell r="AC19" t="str">
            <v>流用土</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総"/>
      <sheetName val="(集)素"/>
      <sheetName val="(集)建"/>
      <sheetName val="素"/>
      <sheetName val="建"/>
      <sheetName val="数"/>
      <sheetName val="管"/>
      <sheetName val="交"/>
      <sheetName val="×3M"/>
      <sheetName val="副×"/>
      <sheetName val="1M"/>
      <sheetName val="小"/>
      <sheetName val="(集)ま素"/>
      <sheetName val="ま素"/>
      <sheetName val="×(集)ま建"/>
      <sheetName val="×ま建"/>
      <sheetName val="(工)素"/>
      <sheetName val="(工)建"/>
      <sheetName val="工(ま素)"/>
      <sheetName val="×(工)ま建"/>
      <sheetName val="(工)M舗"/>
      <sheetName val="建賃"/>
      <sheetName val="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A3" t="str">
            <v xml:space="preserve"> </v>
          </cell>
          <cell r="AG3" t="str">
            <v>　</v>
          </cell>
        </row>
        <row r="4">
          <cell r="A4" t="str">
            <v>VUφ100</v>
          </cell>
          <cell r="AG4" t="str">
            <v>BH0.13m3</v>
          </cell>
        </row>
        <row r="5">
          <cell r="A5" t="str">
            <v>VUφ150</v>
          </cell>
          <cell r="AG5" t="str">
            <v>BH0.28m3</v>
          </cell>
        </row>
        <row r="6">
          <cell r="A6" t="str">
            <v>VUφ200</v>
          </cell>
          <cell r="AG6" t="str">
            <v>BH0.45m3</v>
          </cell>
        </row>
        <row r="7">
          <cell r="A7" t="str">
            <v>VUφ250</v>
          </cell>
          <cell r="AG7" t="str">
            <v>BH0.80m3</v>
          </cell>
        </row>
        <row r="8">
          <cell r="A8" t="str">
            <v>VRφ150</v>
          </cell>
          <cell r="AG8" t="str">
            <v>人力</v>
          </cell>
        </row>
        <row r="9">
          <cell r="A9" t="str">
            <v>VRφ200</v>
          </cell>
        </row>
        <row r="10">
          <cell r="A10" t="str">
            <v>VRφ250</v>
          </cell>
        </row>
        <row r="11">
          <cell r="A11" t="str">
            <v>PEφ50</v>
          </cell>
        </row>
        <row r="12">
          <cell r="A12" t="str">
            <v>PEφ75</v>
          </cell>
        </row>
        <row r="13">
          <cell r="A13" t="str">
            <v>PEφ100</v>
          </cell>
        </row>
        <row r="14">
          <cell r="A14" t="str">
            <v>PEφ150</v>
          </cell>
        </row>
        <row r="15">
          <cell r="A15" t="str">
            <v>PEφ200</v>
          </cell>
        </row>
        <row r="16">
          <cell r="A16" t="str">
            <v>PEφ250</v>
          </cell>
        </row>
        <row r="17">
          <cell r="A17" t="str">
            <v>SGPφ350</v>
          </cell>
        </row>
        <row r="18">
          <cell r="A18" t="str">
            <v>SGPφ400</v>
          </cell>
        </row>
        <row r="19">
          <cell r="A19" t="str">
            <v>HPφ250</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推(3)"/>
      <sheetName val="薬注(二単)"/>
      <sheetName val="取推"/>
      <sheetName val="アーバン"/>
      <sheetName val="ケ15"/>
      <sheetName val="ケ20"/>
      <sheetName val="NC28-1-2"/>
      <sheetName val="NC28-1"/>
      <sheetName val="NC29-3"/>
      <sheetName val="210089-3"/>
      <sheetName val="210089-1"/>
      <sheetName val="210090-1"/>
      <sheetName val="推工(H29下川)"/>
      <sheetName val="推工(H29下川) (2)"/>
      <sheetName val="推誘導"/>
      <sheetName val="運重"/>
      <sheetName val="覆賃"/>
      <sheetName val="data②"/>
      <sheetName val="推"/>
      <sheetName val="薬注(二複)"/>
      <sheetName val="沈設"/>
      <sheetName val="MM"/>
      <sheetName val="沈M数量"/>
      <sheetName val="工(沈設)"/>
      <sheetName val="工(MM)"/>
      <sheetName val="沈M誘導"/>
      <sheetName val="data③"/>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A3" t="str">
            <v>VUφ150</v>
          </cell>
        </row>
        <row r="4">
          <cell r="A4" t="str">
            <v>VUφ200</v>
          </cell>
        </row>
        <row r="5">
          <cell r="A5" t="str">
            <v>VUφ250</v>
          </cell>
        </row>
        <row r="6">
          <cell r="A6" t="str">
            <v>VUφ300</v>
          </cell>
        </row>
        <row r="7">
          <cell r="A7" t="str">
            <v>VUφ350</v>
          </cell>
        </row>
        <row r="8">
          <cell r="A8" t="str">
            <v>VUφ400</v>
          </cell>
        </row>
        <row r="9">
          <cell r="A9" t="str">
            <v>VUφ450</v>
          </cell>
        </row>
        <row r="10">
          <cell r="A10" t="str">
            <v>VUφ500</v>
          </cell>
        </row>
        <row r="11">
          <cell r="A11" t="str">
            <v>VUφ600</v>
          </cell>
        </row>
        <row r="12">
          <cell r="A12" t="str">
            <v>SGPφ350</v>
          </cell>
        </row>
        <row r="13">
          <cell r="A13" t="str">
            <v>SGPφ400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
          <cell r="A3" t="str">
            <v>VPφ150</v>
          </cell>
        </row>
        <row r="4">
          <cell r="A4" t="str">
            <v>VPφ200</v>
          </cell>
        </row>
        <row r="5">
          <cell r="A5" t="str">
            <v>VPφ250</v>
          </cell>
        </row>
        <row r="6">
          <cell r="A6" t="str">
            <v>VPφ300</v>
          </cell>
        </row>
        <row r="7">
          <cell r="A7" t="str">
            <v>VPφ350</v>
          </cell>
        </row>
        <row r="8">
          <cell r="A8" t="str">
            <v>VPφ400</v>
          </cell>
        </row>
        <row r="9">
          <cell r="A9" t="str">
            <v>VPφ450</v>
          </cell>
        </row>
        <row r="10">
          <cell r="A10" t="str">
            <v>VPφ500</v>
          </cell>
        </row>
        <row r="11">
          <cell r="A11" t="str">
            <v>VPφ600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総"/>
      <sheetName val="数"/>
      <sheetName val="土集(建)"/>
      <sheetName val="土(建)"/>
      <sheetName val="土集(ま素)"/>
      <sheetName val="土(ま素)"/>
      <sheetName val="管(VR200)"/>
      <sheetName val="1号"/>
      <sheetName val="塩ビMH"/>
      <sheetName val="工(建)"/>
      <sheetName val="誘導"/>
      <sheetName val="工(MH舗)"/>
      <sheetName val="建賃"/>
      <sheetName val="推進"/>
      <sheetName val="取付管推進"/>
      <sheetName val="ケーシングφ2000"/>
      <sheetName val="ケーシングφ1500"/>
      <sheetName val="運搬重量"/>
      <sheetName val="薬液注入"/>
      <sheetName val="工程 (1)"/>
      <sheetName val="工程 (2)"/>
      <sheetName val="工程 (3)"/>
      <sheetName val="工程(バー)"/>
      <sheetName val="覆工板賃料"/>
      <sheetName val="覆工板賃料 (2)"/>
      <sheetName val="当初誘導員"/>
      <sheetName val="data"/>
      <sheetName val="添加材"/>
      <sheetName val="圧入掘削設備"/>
      <sheetName val="表紙"/>
      <sheetName val="総 (2)"/>
      <sheetName val="土集(建) (2)"/>
      <sheetName val="土(建) (2)"/>
      <sheetName val="土集(ま素) (2)"/>
      <sheetName val="土(ま素) (2)"/>
      <sheetName val="管(VR200) (2)"/>
      <sheetName val="1号 (2)"/>
      <sheetName val="工(建) (2)"/>
      <sheetName val="誘導 (2)"/>
      <sheetName val="工(MH舗) (2)"/>
      <sheetName val="建賃 (2)"/>
      <sheetName val="Sheet1"/>
      <sheetName val="総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3">
          <cell r="A3" t="str">
            <v>VPφ150</v>
          </cell>
        </row>
        <row r="4">
          <cell r="AA4" t="str">
            <v>低耐荷力方式泥土圧推進工</v>
          </cell>
          <cell r="AC4" t="str">
            <v>二重管ストレーナ工法　単相式</v>
          </cell>
        </row>
        <row r="5">
          <cell r="AC5" t="str">
            <v>二重管ストレーナ工法　複相式</v>
          </cell>
        </row>
        <row r="6">
          <cell r="AC6" t="str">
            <v>二重管ダブルパッカー工法　単相式</v>
          </cell>
        </row>
        <row r="7">
          <cell r="AC7" t="str">
            <v>二重管ダブルパッカー工法　複相式</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総括 （閲覧)"/>
      <sheetName val="数量"/>
      <sheetName val="土集計(素掘)"/>
      <sheetName val="土工(素掘)"/>
      <sheetName val="土集計(建簡土)"/>
      <sheetName val="土工(建簡土)"/>
      <sheetName val="土集計(取・ま素掘)"/>
      <sheetName val="土工(取・ま素掘)"/>
      <sheetName val="土集計(取・ま建簡土)"/>
      <sheetName val="土工(取・ま建簡土)"/>
      <sheetName val="管きょ(VR200)"/>
      <sheetName val="管きょ(VR150) "/>
      <sheetName val="管きょ(PE75)"/>
      <sheetName val="1号MH"/>
      <sheetName val="塩ビMH"/>
      <sheetName val="副管"/>
      <sheetName val="工程(素掘)"/>
      <sheetName val="工程(建簡土)"/>
      <sheetName val="工程(取・ま素掘)"/>
      <sheetName val="工程(取・ま建簡土)"/>
      <sheetName val="当初誘導員"/>
      <sheetName val="工程(MH・舗装)"/>
      <sheetName val="土留賃料"/>
      <sheetName val="data"/>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4">
          <cell r="J4" t="str">
            <v>市道一般</v>
          </cell>
        </row>
        <row r="5">
          <cell r="J5" t="str">
            <v>市道L</v>
          </cell>
        </row>
        <row r="6">
          <cell r="J6" t="str">
            <v>市道A</v>
          </cell>
        </row>
        <row r="7">
          <cell r="J7" t="str">
            <v>市道B</v>
          </cell>
        </row>
        <row r="8">
          <cell r="J8" t="str">
            <v>市道歩道</v>
          </cell>
        </row>
        <row r="9">
          <cell r="J9" t="str">
            <v>県道N4</v>
          </cell>
        </row>
        <row r="10">
          <cell r="J10" t="str">
            <v>県道N5</v>
          </cell>
        </row>
        <row r="11">
          <cell r="J11" t="str">
            <v>県道N6</v>
          </cell>
        </row>
        <row r="12">
          <cell r="J12" t="str">
            <v>県道歩道</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内訳書 (調整)"/>
      <sheetName val="総括 (調整)"/>
      <sheetName val="補単内訳書 (調整)"/>
      <sheetName val="表紙"/>
      <sheetName val="設計概要"/>
      <sheetName val="本工事費内訳書"/>
      <sheetName val="総括"/>
      <sheetName val="補単内訳書"/>
      <sheetName val="表紙(機械)"/>
      <sheetName val="内訳(機械)"/>
      <sheetName val="表紙(電気)"/>
      <sheetName val="内訳(電気)"/>
      <sheetName val="表紙(土木)"/>
      <sheetName val="表紙 (個別)"/>
      <sheetName val="施行経費内訳"/>
      <sheetName val="工区別施行経費内訳"/>
      <sheetName val="×補単内訳書"/>
    </sheetNames>
    <sheetDataSet>
      <sheetData sheetId="0"/>
      <sheetData sheetId="1">
        <row r="60">
          <cell r="Q60">
            <v>0</v>
          </cell>
        </row>
      </sheetData>
      <sheetData sheetId="2"/>
      <sheetData sheetId="3"/>
      <sheetData sheetId="4"/>
      <sheetData sheetId="5"/>
      <sheetData sheetId="6">
        <row r="60">
          <cell r="Q60">
            <v>60966000</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表紙 (2)"/>
      <sheetName val="総括"/>
      <sheetName val="表紙(機電)"/>
      <sheetName val="機内訳"/>
      <sheetName val="機経費"/>
      <sheetName val="機明細"/>
      <sheetName val="機代価"/>
      <sheetName val="機労数"/>
      <sheetName val="機数量"/>
      <sheetName val="機数量2"/>
      <sheetName val="電内訳"/>
      <sheetName val="電経費"/>
      <sheetName val="電明細"/>
      <sheetName val="電代価"/>
      <sheetName val="電労数"/>
      <sheetName val="電数量"/>
      <sheetName val="電数量2"/>
      <sheetName val="電数量3"/>
      <sheetName val="単価"/>
      <sheetName val="Sheet1"/>
    </sheetNames>
    <sheetDataSet>
      <sheetData sheetId="0"/>
      <sheetData sheetId="1"/>
      <sheetData sheetId="2"/>
      <sheetData sheetId="3"/>
      <sheetData sheetId="4">
        <row r="298">
          <cell r="S298">
            <v>47560000</v>
          </cell>
        </row>
        <row r="299">
          <cell r="S299">
            <v>47173000</v>
          </cell>
        </row>
      </sheetData>
      <sheetData sheetId="5"/>
      <sheetData sheetId="6"/>
      <sheetData sheetId="7"/>
      <sheetData sheetId="8"/>
      <sheetData sheetId="9"/>
      <sheetData sheetId="10"/>
      <sheetData sheetId="11">
        <row r="260">
          <cell r="S260">
            <v>53215000</v>
          </cell>
        </row>
        <row r="261">
          <cell r="S261">
            <v>54576000</v>
          </cell>
        </row>
      </sheetData>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8.bin"/><Relationship Id="rId4" Type="http://schemas.openxmlformats.org/officeDocument/2006/relationships/comments" Target="../comments2.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37.bin"/><Relationship Id="rId4" Type="http://schemas.openxmlformats.org/officeDocument/2006/relationships/comments" Target="../comments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6"/>
  <sheetViews>
    <sheetView showGridLines="0" workbookViewId="0">
      <selection activeCell="F10" sqref="F10:L10"/>
    </sheetView>
  </sheetViews>
  <sheetFormatPr defaultRowHeight="18.75"/>
  <cols>
    <col min="2" max="2" width="2.625" customWidth="1"/>
    <col min="3" max="3" width="12.625" customWidth="1"/>
    <col min="4" max="5" width="2.625" customWidth="1"/>
    <col min="6" max="12" width="10.625" customWidth="1"/>
  </cols>
  <sheetData>
    <row r="2" spans="2:12">
      <c r="B2" s="302" t="s">
        <v>673</v>
      </c>
    </row>
    <row r="4" spans="2:12">
      <c r="B4" s="299"/>
      <c r="C4" s="300" t="s">
        <v>464</v>
      </c>
      <c r="D4" s="301"/>
      <c r="F4" s="527" t="s">
        <v>1088</v>
      </c>
      <c r="G4" s="527"/>
      <c r="H4" s="20"/>
    </row>
    <row r="6" spans="2:12">
      <c r="B6" s="299"/>
      <c r="C6" s="300" t="s">
        <v>461</v>
      </c>
      <c r="D6" s="301"/>
      <c r="F6" s="526" t="s">
        <v>837</v>
      </c>
      <c r="G6" s="525"/>
      <c r="H6" s="525"/>
    </row>
    <row r="8" spans="2:12">
      <c r="B8" s="299"/>
      <c r="C8" s="300" t="s">
        <v>462</v>
      </c>
      <c r="D8" s="301"/>
      <c r="F8" s="525" t="s">
        <v>1090</v>
      </c>
      <c r="G8" s="525"/>
      <c r="H8" s="525"/>
      <c r="I8" s="525"/>
      <c r="J8" s="525"/>
      <c r="K8" s="525"/>
      <c r="L8" s="525"/>
    </row>
    <row r="10" spans="2:12">
      <c r="B10" s="299"/>
      <c r="C10" s="300" t="s">
        <v>463</v>
      </c>
      <c r="D10" s="301"/>
      <c r="F10" s="525" t="s">
        <v>1091</v>
      </c>
      <c r="G10" s="525"/>
      <c r="H10" s="525"/>
      <c r="I10" s="525"/>
      <c r="J10" s="525"/>
      <c r="K10" s="525"/>
      <c r="L10" s="525"/>
    </row>
    <row r="12" spans="2:12">
      <c r="B12" s="299"/>
      <c r="C12" s="300" t="s">
        <v>410</v>
      </c>
      <c r="D12" s="301"/>
      <c r="F12" s="525" t="s">
        <v>1092</v>
      </c>
      <c r="G12" s="525"/>
      <c r="H12" s="525"/>
      <c r="I12" s="525"/>
      <c r="J12" s="525"/>
      <c r="K12" s="525"/>
      <c r="L12" s="525"/>
    </row>
    <row r="14" spans="2:12">
      <c r="B14" s="299"/>
      <c r="C14" s="300" t="s">
        <v>466</v>
      </c>
      <c r="D14" s="301"/>
      <c r="F14" s="297" t="s">
        <v>466</v>
      </c>
    </row>
    <row r="15" spans="2:12">
      <c r="C15" s="296"/>
      <c r="F15" s="60" t="s">
        <v>481</v>
      </c>
    </row>
    <row r="16" spans="2:12">
      <c r="B16" s="299"/>
      <c r="C16" s="300" t="s">
        <v>474</v>
      </c>
      <c r="D16" s="301"/>
      <c r="F16" s="297" t="s">
        <v>475</v>
      </c>
    </row>
    <row r="17" spans="1:13">
      <c r="C17" s="296"/>
      <c r="F17" s="60" t="s">
        <v>481</v>
      </c>
    </row>
    <row r="18" spans="1:13" ht="18.75" customHeight="1">
      <c r="B18" s="299"/>
      <c r="C18" s="300" t="s">
        <v>478</v>
      </c>
      <c r="D18" s="301"/>
      <c r="F18" s="297" t="s">
        <v>467</v>
      </c>
    </row>
    <row r="19" spans="1:13">
      <c r="F19" s="60" t="s">
        <v>481</v>
      </c>
    </row>
    <row r="20" spans="1:13">
      <c r="A20" s="82"/>
      <c r="B20" s="325"/>
      <c r="C20" s="326" t="s">
        <v>465</v>
      </c>
      <c r="D20" s="327"/>
      <c r="F20" s="297" t="s">
        <v>466</v>
      </c>
      <c r="G20" s="297" t="s">
        <v>475</v>
      </c>
      <c r="H20" s="297" t="s">
        <v>467</v>
      </c>
      <c r="I20" s="297" t="s">
        <v>468</v>
      </c>
      <c r="J20" s="297" t="s">
        <v>469</v>
      </c>
      <c r="K20" s="297" t="s">
        <v>2</v>
      </c>
    </row>
    <row r="22" spans="1:13">
      <c r="B22" s="299"/>
      <c r="C22" s="300" t="s">
        <v>470</v>
      </c>
      <c r="D22" s="301"/>
      <c r="F22" s="297" t="s">
        <v>466</v>
      </c>
      <c r="G22" s="297" t="s">
        <v>475</v>
      </c>
      <c r="H22" s="297" t="s">
        <v>467</v>
      </c>
      <c r="I22" s="297" t="s">
        <v>468</v>
      </c>
      <c r="J22" s="297" t="s">
        <v>469</v>
      </c>
      <c r="K22" s="297" t="s">
        <v>471</v>
      </c>
      <c r="L22" s="297" t="s">
        <v>472</v>
      </c>
      <c r="M22" s="297" t="s">
        <v>473</v>
      </c>
    </row>
    <row r="23" spans="1:13">
      <c r="C23" s="296"/>
      <c r="F23" s="297"/>
      <c r="H23" s="297"/>
      <c r="I23" s="297"/>
      <c r="J23" s="297"/>
      <c r="K23" s="297"/>
      <c r="L23" s="60" t="s">
        <v>480</v>
      </c>
      <c r="M23" s="75" t="s">
        <v>479</v>
      </c>
    </row>
    <row r="24" spans="1:13">
      <c r="B24" s="299"/>
      <c r="C24" s="300" t="s">
        <v>495</v>
      </c>
      <c r="D24" s="301"/>
      <c r="F24" s="297" t="s">
        <v>496</v>
      </c>
      <c r="G24" s="297"/>
      <c r="H24" s="297"/>
      <c r="I24" s="297"/>
      <c r="J24" s="297" t="s">
        <v>497</v>
      </c>
      <c r="K24" s="297"/>
      <c r="L24" s="297"/>
    </row>
    <row r="26" spans="1:13">
      <c r="B26" s="299"/>
      <c r="C26" s="300" t="s">
        <v>482</v>
      </c>
      <c r="D26" s="301"/>
      <c r="F26" s="297" t="s">
        <v>483</v>
      </c>
    </row>
  </sheetData>
  <mergeCells count="5">
    <mergeCell ref="F8:L8"/>
    <mergeCell ref="F6:H6"/>
    <mergeCell ref="F10:L10"/>
    <mergeCell ref="F12:L12"/>
    <mergeCell ref="F4:G4"/>
  </mergeCells>
  <phoneticPr fontId="3"/>
  <dataValidations count="1">
    <dataValidation type="list" allowBlank="1" showInputMessage="1" sqref="F6" xr:uid="{00000000-0002-0000-0000-000000000000}">
      <formula1>"鶴岡市公共下水道事業,鶴岡市農業集落排水事業"</formula1>
    </dataValidation>
  </dataValidations>
  <hyperlinks>
    <hyperlink ref="F14" location="表紙!A1" display="表紙" xr:uid="{00000000-0004-0000-0000-000000000000}"/>
    <hyperlink ref="F16" location="設計概要!A1" display="概要" xr:uid="{00000000-0004-0000-0000-000001000000}"/>
    <hyperlink ref="F18" location="施行経費内訳!A1" display="内訳" xr:uid="{00000000-0004-0000-0000-000002000000}"/>
    <hyperlink ref="F20" location="'表紙(機械)'!A1" display="表紙" xr:uid="{00000000-0004-0000-0000-000003000000}"/>
    <hyperlink ref="H20" location="'内訳(機械)'!A1" display="内訳" xr:uid="{00000000-0004-0000-0000-000004000000}"/>
    <hyperlink ref="I20" location="'明細(機械)'!A1" display="明細" xr:uid="{00000000-0004-0000-0000-000005000000}"/>
    <hyperlink ref="J20" location="'集計(機械)'!A1" display="集計" xr:uid="{00000000-0004-0000-0000-000006000000}"/>
    <hyperlink ref="K20" location="'数量(機械)'!A1" display="数量" xr:uid="{00000000-0004-0000-0000-000007000000}"/>
    <hyperlink ref="F22" location="'表紙(電気)'!A1" display="表紙" xr:uid="{00000000-0004-0000-0000-000008000000}"/>
    <hyperlink ref="H22" location="'内訳(電気)'!A1" display="内訳" xr:uid="{00000000-0004-0000-0000-000009000000}"/>
    <hyperlink ref="I22" location="'明細(電気)'!A1" display="明細" xr:uid="{00000000-0004-0000-0000-00000A000000}"/>
    <hyperlink ref="J22" location="'集計(電気)'!A1" display="集計" xr:uid="{00000000-0004-0000-0000-00000B000000}"/>
    <hyperlink ref="K22" location="'数量1(電気)'!A1" display="数量(1)" xr:uid="{00000000-0004-0000-0000-00000C000000}"/>
    <hyperlink ref="L22" location="'数量2-1(電気)'!A1" display="数量(2-1)" xr:uid="{00000000-0004-0000-0000-00000D000000}"/>
    <hyperlink ref="M22" location="'数量2-2(電気)'!A1" display="数量(2-2)" xr:uid="{00000000-0004-0000-0000-00000E000000}"/>
    <hyperlink ref="F26" location="資材単価!A1" display="単価" xr:uid="{00000000-0004-0000-0000-00000F000000}"/>
    <hyperlink ref="J24" location="'数量(土木)'!A1" display="数量" xr:uid="{00000000-0004-0000-0000-000010000000}"/>
    <hyperlink ref="F24" location="'表紙(土木)'!A1" display="表紙" xr:uid="{00000000-0004-0000-0000-000011000000}"/>
    <hyperlink ref="G20" location="'概要(機械)'!A1" display="概要" xr:uid="{00000000-0004-0000-0000-000012000000}"/>
    <hyperlink ref="G22" location="'概要(電気)'!A1" display="概要" xr:uid="{00000000-0004-0000-0000-000013000000}"/>
  </hyperlink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6:CE63"/>
  <sheetViews>
    <sheetView showGridLines="0" view="pageBreakPreview" topLeftCell="A7" zoomScale="85" zoomScaleNormal="100" zoomScaleSheetLayoutView="85" workbookViewId="0"/>
  </sheetViews>
  <sheetFormatPr defaultRowHeight="18.75"/>
  <sheetData>
    <row r="6" spans="2:83">
      <c r="H6" s="159" t="s">
        <v>1169</v>
      </c>
      <c r="CE6" t="s">
        <v>1147</v>
      </c>
    </row>
    <row r="7" spans="2:83" ht="18.75" customHeight="1">
      <c r="B7" s="529" t="s">
        <v>1103</v>
      </c>
      <c r="C7" s="529"/>
      <c r="D7" s="529"/>
    </row>
    <row r="8" spans="2:83" ht="18.75" customHeight="1">
      <c r="B8" s="529"/>
      <c r="C8" s="529"/>
      <c r="D8" s="529"/>
      <c r="AU8" s="97"/>
      <c r="CE8" t="s">
        <v>1147</v>
      </c>
    </row>
    <row r="9" spans="2:83">
      <c r="B9" s="530" t="s">
        <v>1093</v>
      </c>
      <c r="C9" s="530"/>
      <c r="D9" s="530"/>
      <c r="E9" s="530"/>
      <c r="F9" s="530"/>
      <c r="G9" s="530"/>
      <c r="H9" s="530"/>
      <c r="I9" s="530"/>
    </row>
    <row r="10" spans="2:83">
      <c r="B10" s="530"/>
      <c r="C10" s="530"/>
      <c r="D10" s="530"/>
      <c r="E10" s="530"/>
      <c r="F10" s="530"/>
      <c r="G10" s="530"/>
      <c r="H10" s="530"/>
      <c r="I10" s="530"/>
      <c r="CE10" t="s">
        <v>1148</v>
      </c>
    </row>
    <row r="11" spans="2:83">
      <c r="B11" s="530" t="s">
        <v>1146</v>
      </c>
      <c r="C11" s="530"/>
      <c r="D11" s="530"/>
      <c r="E11" s="530"/>
      <c r="F11" s="530"/>
      <c r="G11" s="530"/>
      <c r="H11" s="530"/>
      <c r="I11" s="530"/>
    </row>
    <row r="12" spans="2:83">
      <c r="B12" s="530"/>
      <c r="C12" s="530"/>
      <c r="D12" s="530"/>
      <c r="E12" s="530"/>
      <c r="F12" s="530"/>
      <c r="G12" s="530"/>
      <c r="H12" s="530"/>
      <c r="I12" s="530"/>
    </row>
    <row r="14" spans="2:83">
      <c r="B14" s="530" t="s">
        <v>1168</v>
      </c>
      <c r="C14" s="530"/>
      <c r="D14" s="530"/>
      <c r="E14" s="530"/>
      <c r="F14" s="530"/>
      <c r="G14" s="530"/>
      <c r="H14" s="530"/>
      <c r="I14" s="530"/>
    </row>
    <row r="15" spans="2:83">
      <c r="B15" s="530"/>
      <c r="C15" s="530"/>
      <c r="D15" s="530"/>
      <c r="E15" s="530"/>
      <c r="F15" s="530"/>
      <c r="G15" s="530"/>
      <c r="H15" s="530"/>
      <c r="I15" s="530"/>
    </row>
    <row r="19" spans="4:7">
      <c r="D19" s="530"/>
      <c r="E19" s="532"/>
      <c r="F19" s="532"/>
      <c r="G19" s="532"/>
    </row>
    <row r="20" spans="4:7">
      <c r="D20" s="532"/>
      <c r="E20" s="532"/>
      <c r="F20" s="532"/>
      <c r="G20" s="532"/>
    </row>
    <row r="35" spans="2:13">
      <c r="B35" s="531" t="s">
        <v>1145</v>
      </c>
      <c r="C35" s="531"/>
      <c r="D35" s="531"/>
      <c r="E35" s="531"/>
      <c r="F35" s="531"/>
      <c r="G35" s="531"/>
      <c r="H35" s="531"/>
      <c r="I35" s="531"/>
    </row>
    <row r="36" spans="2:13">
      <c r="B36" s="531"/>
      <c r="C36" s="531"/>
      <c r="D36" s="531"/>
      <c r="E36" s="531"/>
      <c r="F36" s="531"/>
      <c r="G36" s="531"/>
      <c r="H36" s="531"/>
      <c r="I36" s="531"/>
    </row>
    <row r="37" spans="2:13">
      <c r="B37" s="528" t="s">
        <v>211</v>
      </c>
      <c r="C37" s="528"/>
      <c r="D37" s="528"/>
      <c r="E37" s="528"/>
      <c r="F37" s="528"/>
      <c r="G37" s="528"/>
      <c r="H37" s="528"/>
      <c r="I37" s="528"/>
    </row>
    <row r="38" spans="2:13">
      <c r="B38" s="528"/>
      <c r="C38" s="528"/>
      <c r="D38" s="528"/>
      <c r="E38" s="528"/>
      <c r="F38" s="528"/>
      <c r="G38" s="528"/>
      <c r="H38" s="528"/>
      <c r="I38" s="528"/>
    </row>
    <row r="44" spans="2:13">
      <c r="M44" s="489"/>
    </row>
    <row r="63" spans="1:10">
      <c r="A63" s="491"/>
      <c r="J63" s="491"/>
    </row>
  </sheetData>
  <mergeCells count="7">
    <mergeCell ref="B37:I38"/>
    <mergeCell ref="B7:D8"/>
    <mergeCell ref="B9:I10"/>
    <mergeCell ref="B11:I12"/>
    <mergeCell ref="B14:I15"/>
    <mergeCell ref="B35:I36"/>
    <mergeCell ref="D19:G20"/>
  </mergeCells>
  <phoneticPr fontId="3"/>
  <printOptions horizontalCentered="1" vertic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M30"/>
  <sheetViews>
    <sheetView showGridLines="0" showZeros="0" view="pageBreakPreview" zoomScaleNormal="100" zoomScaleSheetLayoutView="100" workbookViewId="0">
      <selection activeCell="D31" sqref="D31"/>
    </sheetView>
  </sheetViews>
  <sheetFormatPr defaultRowHeight="18.75"/>
  <cols>
    <col min="2" max="5" width="13.625" customWidth="1"/>
    <col min="6" max="7" width="5.625" customWidth="1"/>
    <col min="8" max="9" width="12.625" customWidth="1"/>
    <col min="10" max="10" width="13.625" customWidth="1"/>
    <col min="11" max="11" width="10.25" bestFit="1" customWidth="1"/>
    <col min="12" max="12" width="10.75" customWidth="1"/>
    <col min="13" max="13" width="19.375" customWidth="1"/>
  </cols>
  <sheetData>
    <row r="2" spans="2:13">
      <c r="B2" s="16"/>
      <c r="C2" s="536" t="s">
        <v>802</v>
      </c>
      <c r="D2" s="536"/>
      <c r="E2" s="536"/>
      <c r="F2" s="536"/>
      <c r="G2" s="536"/>
      <c r="H2" s="536"/>
      <c r="I2" s="536"/>
      <c r="J2" s="328"/>
    </row>
    <row r="3" spans="2:13">
      <c r="B3" s="19"/>
      <c r="C3" s="537"/>
      <c r="D3" s="537"/>
      <c r="E3" s="537"/>
      <c r="F3" s="537"/>
      <c r="G3" s="537"/>
      <c r="H3" s="537"/>
      <c r="I3" s="537"/>
      <c r="J3" s="329" t="s">
        <v>112</v>
      </c>
    </row>
    <row r="4" spans="2:13">
      <c r="B4" s="538" t="s">
        <v>803</v>
      </c>
      <c r="C4" s="538" t="s">
        <v>85</v>
      </c>
      <c r="D4" s="538" t="s">
        <v>804</v>
      </c>
      <c r="E4" s="538" t="s">
        <v>805</v>
      </c>
      <c r="F4" s="538" t="s">
        <v>2</v>
      </c>
      <c r="G4" s="538" t="s">
        <v>3</v>
      </c>
      <c r="H4" s="538" t="s">
        <v>806</v>
      </c>
      <c r="I4" s="538" t="s">
        <v>807</v>
      </c>
      <c r="J4" s="533" t="s">
        <v>8</v>
      </c>
      <c r="K4" s="534" t="s">
        <v>808</v>
      </c>
      <c r="L4" s="534" t="s">
        <v>809</v>
      </c>
      <c r="M4" s="534" t="s">
        <v>810</v>
      </c>
    </row>
    <row r="5" spans="2:13">
      <c r="B5" s="538"/>
      <c r="C5" s="538"/>
      <c r="D5" s="538"/>
      <c r="E5" s="538"/>
      <c r="F5" s="538"/>
      <c r="G5" s="538"/>
      <c r="H5" s="538"/>
      <c r="I5" s="538"/>
      <c r="J5" s="533"/>
      <c r="K5" s="535"/>
      <c r="L5" s="535"/>
      <c r="M5" s="535"/>
    </row>
    <row r="6" spans="2:13">
      <c r="B6" s="330" t="s">
        <v>952</v>
      </c>
      <c r="C6" s="330"/>
      <c r="D6" s="330"/>
      <c r="E6" s="330"/>
      <c r="F6" s="331"/>
      <c r="G6" s="331"/>
      <c r="H6" s="331"/>
      <c r="I6" s="331"/>
      <c r="J6" s="397"/>
      <c r="K6" s="333"/>
      <c r="L6" s="333"/>
      <c r="M6" s="333"/>
    </row>
    <row r="7" spans="2:13">
      <c r="B7" s="334"/>
      <c r="C7" s="334"/>
      <c r="D7" s="334"/>
      <c r="E7" s="334"/>
      <c r="F7" s="334"/>
      <c r="G7" s="334"/>
      <c r="H7" s="334"/>
      <c r="I7" s="334"/>
      <c r="J7" s="398"/>
      <c r="K7" s="333"/>
      <c r="L7" s="333"/>
      <c r="M7" s="333"/>
    </row>
    <row r="8" spans="2:13">
      <c r="B8" s="330"/>
      <c r="C8" s="330" t="s">
        <v>212</v>
      </c>
      <c r="D8" s="330" t="s">
        <v>145</v>
      </c>
      <c r="E8" s="330"/>
      <c r="F8" s="335">
        <v>1</v>
      </c>
      <c r="G8" s="336" t="s">
        <v>117</v>
      </c>
      <c r="H8" s="331"/>
      <c r="I8" s="337" t="e">
        <f>+'内訳(機械)'!I112</f>
        <v>#REF!</v>
      </c>
      <c r="J8" s="397" t="s">
        <v>953</v>
      </c>
      <c r="K8" s="333"/>
      <c r="L8" s="333"/>
      <c r="M8" s="333"/>
    </row>
    <row r="9" spans="2:13">
      <c r="B9" s="334"/>
      <c r="C9" s="334"/>
      <c r="D9" s="334"/>
      <c r="E9" s="334"/>
      <c r="F9" s="338"/>
      <c r="G9" s="334"/>
      <c r="H9" s="334"/>
      <c r="I9" s="339">
        <f>+'内訳(機械)'!I113</f>
        <v>0</v>
      </c>
      <c r="J9" s="398"/>
      <c r="K9" s="340" t="e">
        <f>I9-I8</f>
        <v>#REF!</v>
      </c>
      <c r="L9" s="333">
        <v>646000</v>
      </c>
      <c r="M9" s="333"/>
    </row>
    <row r="10" spans="2:13">
      <c r="B10" s="330"/>
      <c r="C10" s="330" t="s">
        <v>214</v>
      </c>
      <c r="D10" s="330" t="s">
        <v>145</v>
      </c>
      <c r="E10" s="330"/>
      <c r="F10" s="335">
        <v>1</v>
      </c>
      <c r="G10" s="336" t="s">
        <v>117</v>
      </c>
      <c r="H10" s="331"/>
      <c r="I10" s="337">
        <f>+'内訳(電気)'!I104</f>
        <v>0</v>
      </c>
      <c r="J10" s="397" t="s">
        <v>953</v>
      </c>
      <c r="K10" s="333"/>
      <c r="L10" s="333"/>
      <c r="M10" s="333"/>
    </row>
    <row r="11" spans="2:13">
      <c r="B11" s="334"/>
      <c r="C11" s="334"/>
      <c r="D11" s="334"/>
      <c r="E11" s="334"/>
      <c r="F11" s="338"/>
      <c r="G11" s="334"/>
      <c r="H11" s="334"/>
      <c r="I11" s="339">
        <f>+'内訳(電気)'!I105</f>
        <v>0</v>
      </c>
      <c r="J11" s="398"/>
      <c r="K11" s="340">
        <f>I11-I10</f>
        <v>0</v>
      </c>
      <c r="L11" s="333">
        <v>117000</v>
      </c>
      <c r="M11" s="333"/>
    </row>
    <row r="12" spans="2:13">
      <c r="B12" s="330"/>
      <c r="C12" s="330" t="s">
        <v>495</v>
      </c>
      <c r="D12" s="330" t="s">
        <v>145</v>
      </c>
      <c r="E12" s="330"/>
      <c r="F12" s="335">
        <v>1</v>
      </c>
      <c r="G12" s="336" t="s">
        <v>117</v>
      </c>
      <c r="H12" s="331"/>
      <c r="I12" s="341">
        <v>10480000</v>
      </c>
      <c r="J12" s="397" t="s">
        <v>953</v>
      </c>
      <c r="K12" s="333"/>
      <c r="L12" s="333"/>
      <c r="M12" s="333"/>
    </row>
    <row r="13" spans="2:13">
      <c r="B13" s="334"/>
      <c r="C13" s="334"/>
      <c r="D13" s="334"/>
      <c r="E13" s="334"/>
      <c r="F13" s="338"/>
      <c r="G13" s="334"/>
      <c r="H13" s="334"/>
      <c r="I13" s="342">
        <v>12439000</v>
      </c>
      <c r="J13" s="398"/>
      <c r="K13" s="340">
        <f>I13-I12</f>
        <v>1959000</v>
      </c>
      <c r="L13" s="333"/>
      <c r="M13" s="343">
        <f>M15-L15</f>
        <v>408000</v>
      </c>
    </row>
    <row r="14" spans="2:13">
      <c r="B14" s="330"/>
      <c r="C14" s="330"/>
      <c r="D14" s="330" t="s">
        <v>813</v>
      </c>
      <c r="E14" s="330"/>
      <c r="F14" s="335">
        <v>1</v>
      </c>
      <c r="G14" s="336" t="s">
        <v>117</v>
      </c>
      <c r="H14" s="331"/>
      <c r="I14" s="337" t="e">
        <f>+SUM(I8,I10,I12)</f>
        <v>#REF!</v>
      </c>
      <c r="J14" s="397"/>
      <c r="K14" s="333"/>
      <c r="L14" s="333"/>
      <c r="M14" s="343" t="s">
        <v>954</v>
      </c>
    </row>
    <row r="15" spans="2:13">
      <c r="B15" s="334"/>
      <c r="C15" s="334"/>
      <c r="D15" s="334"/>
      <c r="E15" s="334"/>
      <c r="F15" s="338"/>
      <c r="G15" s="334"/>
      <c r="H15" s="334"/>
      <c r="I15" s="344">
        <f>+SUM(I9,I11,I13)</f>
        <v>12439000</v>
      </c>
      <c r="J15" s="398"/>
      <c r="K15" s="340" t="e">
        <f>K13+K11+K9</f>
        <v>#REF!</v>
      </c>
      <c r="L15" s="333">
        <f>L9+L11+L13</f>
        <v>763000</v>
      </c>
      <c r="M15" s="343">
        <v>1171000</v>
      </c>
    </row>
    <row r="16" spans="2:13">
      <c r="B16" s="330"/>
      <c r="C16" s="330"/>
      <c r="D16" s="330" t="s">
        <v>439</v>
      </c>
      <c r="E16" s="330"/>
      <c r="F16" s="335">
        <v>10</v>
      </c>
      <c r="G16" s="336" t="s">
        <v>123</v>
      </c>
      <c r="H16" s="337"/>
      <c r="I16" s="345" t="e">
        <f>+IF(I14&gt;0,I14*F16%,0)</f>
        <v>#REF!</v>
      </c>
      <c r="J16" s="397"/>
      <c r="K16" s="333"/>
      <c r="L16" s="333"/>
      <c r="M16" s="333"/>
    </row>
    <row r="17" spans="2:13">
      <c r="B17" s="334"/>
      <c r="C17" s="334"/>
      <c r="D17" s="334"/>
      <c r="E17" s="334"/>
      <c r="F17" s="338">
        <v>10</v>
      </c>
      <c r="G17" s="334"/>
      <c r="H17" s="346"/>
      <c r="I17" s="347">
        <f>+IF(I15&gt;0,I15*F17%,0)</f>
        <v>1243900</v>
      </c>
      <c r="J17" s="398"/>
      <c r="K17" s="333" t="e">
        <f>K15*0.1</f>
        <v>#REF!</v>
      </c>
      <c r="L17" s="333"/>
      <c r="M17" s="333"/>
    </row>
    <row r="18" spans="2:13">
      <c r="B18" s="330"/>
      <c r="C18" s="330"/>
      <c r="D18" s="330" t="s">
        <v>440</v>
      </c>
      <c r="E18" s="330"/>
      <c r="F18" s="335">
        <v>1</v>
      </c>
      <c r="G18" s="336" t="s">
        <v>117</v>
      </c>
      <c r="H18" s="331"/>
      <c r="I18" s="348" t="e">
        <f>+I14+I16</f>
        <v>#REF!</v>
      </c>
      <c r="J18" s="397"/>
      <c r="K18" s="333"/>
      <c r="L18" s="333"/>
      <c r="M18" s="333"/>
    </row>
    <row r="19" spans="2:13">
      <c r="B19" s="334"/>
      <c r="C19" s="334"/>
      <c r="D19" s="334"/>
      <c r="E19" s="334"/>
      <c r="F19" s="338"/>
      <c r="G19" s="334"/>
      <c r="H19" s="334"/>
      <c r="I19" s="339">
        <f>+I15+I17</f>
        <v>13682900</v>
      </c>
      <c r="J19" s="398"/>
      <c r="K19" s="340" t="e">
        <f>K15+K17</f>
        <v>#REF!</v>
      </c>
      <c r="L19" s="333"/>
      <c r="M19" s="333"/>
    </row>
    <row r="20" spans="2:13">
      <c r="B20" s="349"/>
      <c r="C20" s="349"/>
      <c r="D20" s="349"/>
      <c r="E20" s="349"/>
      <c r="F20" s="349"/>
      <c r="G20" s="349"/>
      <c r="H20" s="349"/>
      <c r="I20" s="349"/>
      <c r="J20" s="399"/>
      <c r="K20" s="333"/>
      <c r="L20" s="333"/>
      <c r="M20" s="333"/>
    </row>
    <row r="21" spans="2:13">
      <c r="B21" s="330"/>
      <c r="C21" s="330"/>
      <c r="D21" s="330" t="s">
        <v>441</v>
      </c>
      <c r="E21" s="330"/>
      <c r="F21" s="331"/>
      <c r="G21" s="331"/>
      <c r="H21" s="331"/>
      <c r="I21" s="341">
        <v>58300000</v>
      </c>
      <c r="J21" s="397"/>
      <c r="K21" s="333"/>
      <c r="L21" s="333"/>
      <c r="M21" s="333"/>
    </row>
    <row r="22" spans="2:13">
      <c r="B22" s="334"/>
      <c r="C22" s="334"/>
      <c r="D22" s="334"/>
      <c r="E22" s="334"/>
      <c r="F22" s="334"/>
      <c r="G22" s="334"/>
      <c r="H22" s="334"/>
      <c r="I22" s="342">
        <f>[6]総括!Q60</f>
        <v>60966000</v>
      </c>
      <c r="J22" s="398"/>
      <c r="K22" s="340">
        <f>I22-I21</f>
        <v>2666000</v>
      </c>
      <c r="L22" s="333"/>
      <c r="M22" s="333"/>
    </row>
    <row r="23" spans="2:13">
      <c r="B23" s="330"/>
      <c r="C23" s="330"/>
      <c r="D23" s="330" t="s">
        <v>439</v>
      </c>
      <c r="E23" s="330"/>
      <c r="F23" s="335">
        <v>10</v>
      </c>
      <c r="G23" s="336" t="s">
        <v>123</v>
      </c>
      <c r="H23" s="331"/>
      <c r="I23" s="345">
        <f>+IF(I21&gt;0,I21*F23%,0)</f>
        <v>5830000</v>
      </c>
      <c r="J23" s="397"/>
      <c r="K23" s="333"/>
      <c r="L23" s="333"/>
      <c r="M23" s="333"/>
    </row>
    <row r="24" spans="2:13">
      <c r="B24" s="334"/>
      <c r="C24" s="334"/>
      <c r="D24" s="334"/>
      <c r="E24" s="334"/>
      <c r="F24" s="338">
        <v>10</v>
      </c>
      <c r="G24" s="334"/>
      <c r="H24" s="334"/>
      <c r="I24" s="347">
        <f>+IF(I22&gt;0,I22*F24%,0)</f>
        <v>6096600</v>
      </c>
      <c r="J24" s="398"/>
      <c r="K24" s="333">
        <f>K22*0.1</f>
        <v>266600</v>
      </c>
      <c r="L24" s="333"/>
      <c r="M24" s="333"/>
    </row>
    <row r="25" spans="2:13">
      <c r="B25" s="330"/>
      <c r="C25" s="330"/>
      <c r="D25" s="330" t="s">
        <v>798</v>
      </c>
      <c r="E25" s="330"/>
      <c r="F25" s="331"/>
      <c r="G25" s="331"/>
      <c r="H25" s="331"/>
      <c r="I25" s="348">
        <f>+I21+I23</f>
        <v>64130000</v>
      </c>
      <c r="J25" s="397"/>
      <c r="K25" s="333"/>
      <c r="L25" s="333"/>
      <c r="M25" s="333"/>
    </row>
    <row r="26" spans="2:13">
      <c r="B26" s="334"/>
      <c r="C26" s="334"/>
      <c r="D26" s="334"/>
      <c r="E26" s="334"/>
      <c r="F26" s="334"/>
      <c r="G26" s="334"/>
      <c r="H26" s="334"/>
      <c r="I26" s="339">
        <f>+I22+I24</f>
        <v>67062600</v>
      </c>
      <c r="J26" s="398"/>
      <c r="K26" s="340">
        <f>K22+K24</f>
        <v>2932600</v>
      </c>
      <c r="L26" s="333"/>
      <c r="M26" s="333"/>
    </row>
    <row r="27" spans="2:13">
      <c r="B27" s="350"/>
      <c r="C27" s="350"/>
      <c r="D27" s="350"/>
      <c r="E27" s="350"/>
      <c r="F27" s="350"/>
      <c r="G27" s="350"/>
      <c r="H27" s="350"/>
      <c r="I27" s="350"/>
      <c r="J27" s="350"/>
    </row>
    <row r="28" spans="2:13">
      <c r="B28" s="350"/>
      <c r="C28" s="350"/>
      <c r="D28" s="350"/>
      <c r="E28" s="350"/>
      <c r="F28" s="350"/>
      <c r="G28" s="350"/>
      <c r="H28" s="350"/>
      <c r="I28" s="350"/>
      <c r="J28" s="350"/>
    </row>
    <row r="29" spans="2:13">
      <c r="B29" s="350"/>
      <c r="C29" s="350"/>
      <c r="D29" s="350"/>
      <c r="E29" s="350"/>
      <c r="F29" s="350"/>
      <c r="G29" s="350"/>
      <c r="H29" s="350"/>
      <c r="I29" s="350"/>
      <c r="J29" s="350"/>
    </row>
    <row r="30" spans="2:13">
      <c r="B30" s="350"/>
      <c r="C30" s="350"/>
      <c r="D30" s="350"/>
      <c r="E30" s="350"/>
      <c r="F30" s="350"/>
      <c r="G30" s="350"/>
      <c r="H30" s="350"/>
      <c r="I30" s="350"/>
      <c r="J30" s="350"/>
    </row>
  </sheetData>
  <mergeCells count="13">
    <mergeCell ref="B4:B5"/>
    <mergeCell ref="C4:C5"/>
    <mergeCell ref="D4:D5"/>
    <mergeCell ref="E4:E5"/>
    <mergeCell ref="F4:F5"/>
    <mergeCell ref="J4:J5"/>
    <mergeCell ref="K4:K5"/>
    <mergeCell ref="L4:L5"/>
    <mergeCell ref="M4:M5"/>
    <mergeCell ref="C2:I3"/>
    <mergeCell ref="G4:G5"/>
    <mergeCell ref="H4:H5"/>
    <mergeCell ref="I4:I5"/>
  </mergeCells>
  <phoneticPr fontId="3"/>
  <pageMargins left="0.78740157480314965" right="0.39370078740157483" top="0.74803149606299213" bottom="0.74803149606299213" header="0.31496062992125984" footer="0.31496062992125984"/>
  <pageSetup paperSize="9" scale="7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3"/>
  <sheetViews>
    <sheetView showGridLines="0" showZeros="0" view="pageBreakPreview" zoomScaleNormal="100" zoomScaleSheetLayoutView="100" workbookViewId="0">
      <selection activeCell="D31" sqref="D31"/>
    </sheetView>
  </sheetViews>
  <sheetFormatPr defaultRowHeight="18.75"/>
  <cols>
    <col min="2" max="2" width="2.125" customWidth="1"/>
    <col min="3" max="3" width="15.625" customWidth="1"/>
    <col min="4" max="4" width="2.125" customWidth="1"/>
    <col min="5" max="7" width="20.625" customWidth="1"/>
    <col min="9" max="9" width="11.375" bestFit="1" customWidth="1"/>
  </cols>
  <sheetData>
    <row r="1" spans="1:7">
      <c r="A1" s="298" t="s">
        <v>476</v>
      </c>
    </row>
    <row r="2" spans="1:7">
      <c r="B2" s="16"/>
      <c r="C2" s="17"/>
      <c r="D2" s="17"/>
      <c r="E2" s="545" t="s">
        <v>917</v>
      </c>
      <c r="F2" s="546"/>
      <c r="G2" s="18"/>
    </row>
    <row r="3" spans="1:7">
      <c r="B3" s="19"/>
      <c r="C3" s="20"/>
      <c r="D3" s="20"/>
      <c r="E3" s="547"/>
      <c r="F3" s="547"/>
      <c r="G3" s="103" t="s">
        <v>112</v>
      </c>
    </row>
    <row r="4" spans="1:7" ht="23.1" customHeight="1">
      <c r="B4" s="16"/>
      <c r="C4" s="539" t="s">
        <v>435</v>
      </c>
      <c r="D4" s="18"/>
      <c r="E4" s="548" t="s">
        <v>436</v>
      </c>
      <c r="F4" s="549"/>
      <c r="G4" s="534" t="s">
        <v>437</v>
      </c>
    </row>
    <row r="5" spans="1:7" ht="23.1" customHeight="1">
      <c r="B5" s="19"/>
      <c r="C5" s="540"/>
      <c r="D5" s="20"/>
      <c r="E5" s="159" t="s">
        <v>212</v>
      </c>
      <c r="F5" s="159" t="s">
        <v>214</v>
      </c>
      <c r="G5" s="535"/>
    </row>
    <row r="6" spans="1:7" ht="23.1" customHeight="1">
      <c r="B6" s="16"/>
      <c r="C6" s="539" t="s">
        <v>10</v>
      </c>
      <c r="D6" s="18"/>
      <c r="E6" s="287">
        <f>+'内訳(機械)補助'!H12</f>
        <v>0</v>
      </c>
      <c r="F6" s="106">
        <f>+'内訳(電気)補助'!H14</f>
        <v>0</v>
      </c>
      <c r="G6" s="3"/>
    </row>
    <row r="7" spans="1:7" ht="23.1" customHeight="1">
      <c r="B7" s="19"/>
      <c r="C7" s="540"/>
      <c r="D7" s="21"/>
      <c r="E7" s="288">
        <f>+'内訳(機械)補助'!H13</f>
        <v>0</v>
      </c>
      <c r="F7" s="110">
        <f>+'内訳(電気)補助'!H15</f>
        <v>0</v>
      </c>
      <c r="G7" s="1"/>
    </row>
    <row r="8" spans="1:7" ht="23.1" customHeight="1">
      <c r="B8" s="16"/>
      <c r="C8" s="539" t="s">
        <v>120</v>
      </c>
      <c r="D8" s="18"/>
      <c r="E8" s="287">
        <f>+'内訳(機械)補助'!H28</f>
        <v>0</v>
      </c>
      <c r="F8" s="106">
        <f>+'内訳(電気)補助'!H36</f>
        <v>0</v>
      </c>
      <c r="G8" s="3"/>
    </row>
    <row r="9" spans="1:7" ht="23.1" customHeight="1">
      <c r="B9" s="19"/>
      <c r="C9" s="540"/>
      <c r="D9" s="21"/>
      <c r="E9" s="288">
        <f>+'内訳(機械)補助'!H29</f>
        <v>0</v>
      </c>
      <c r="F9" s="110">
        <f>+'内訳(電気)補助'!H37</f>
        <v>0</v>
      </c>
      <c r="G9" s="1"/>
    </row>
    <row r="10" spans="1:7" ht="23.1" customHeight="1">
      <c r="B10" s="16"/>
      <c r="C10" s="539" t="s">
        <v>121</v>
      </c>
      <c r="D10" s="18"/>
      <c r="E10" s="287">
        <f>+'内訳(機械)補助'!H44</f>
        <v>0</v>
      </c>
      <c r="F10" s="396" t="e">
        <f>+'内訳(電気)補助'!#REF!</f>
        <v>#REF!</v>
      </c>
      <c r="G10" s="3"/>
    </row>
    <row r="11" spans="1:7" ht="23.1" customHeight="1">
      <c r="B11" s="19"/>
      <c r="C11" s="540"/>
      <c r="D11" s="21"/>
      <c r="E11" s="288">
        <f>+'内訳(機械)補助'!H45</f>
        <v>0</v>
      </c>
      <c r="F11" s="110" t="e">
        <f>+'内訳(電気)補助'!#REF!</f>
        <v>#REF!</v>
      </c>
      <c r="G11" s="1"/>
    </row>
    <row r="12" spans="1:7" ht="23.1" customHeight="1">
      <c r="B12" s="16"/>
      <c r="C12" s="539" t="s">
        <v>134</v>
      </c>
      <c r="D12" s="18"/>
      <c r="E12" s="287">
        <f>+'内訳(機械)補助'!H46</f>
        <v>0</v>
      </c>
      <c r="F12" s="106"/>
      <c r="G12" s="3"/>
    </row>
    <row r="13" spans="1:7" ht="23.1" customHeight="1">
      <c r="B13" s="19"/>
      <c r="C13" s="540"/>
      <c r="D13" s="21"/>
      <c r="E13" s="288">
        <f>+'内訳(機械)補助'!H47</f>
        <v>0</v>
      </c>
      <c r="F13" s="110"/>
      <c r="G13" s="1"/>
    </row>
    <row r="14" spans="1:7" ht="23.1" customHeight="1">
      <c r="B14" s="16"/>
      <c r="C14" s="539" t="s">
        <v>136</v>
      </c>
      <c r="D14" s="18"/>
      <c r="E14" s="287">
        <f>+'内訳(機械)補助'!H52</f>
        <v>0</v>
      </c>
      <c r="F14" s="106"/>
      <c r="G14" s="3"/>
    </row>
    <row r="15" spans="1:7" ht="23.1" customHeight="1">
      <c r="B15" s="19"/>
      <c r="C15" s="540"/>
      <c r="D15" s="21"/>
      <c r="E15" s="288">
        <f>+'内訳(機械)補助'!H53</f>
        <v>0</v>
      </c>
      <c r="F15" s="110"/>
      <c r="G15" s="1"/>
    </row>
    <row r="16" spans="1:7" ht="23.1" customHeight="1">
      <c r="B16" s="16"/>
      <c r="C16" s="539" t="s">
        <v>138</v>
      </c>
      <c r="D16" s="18"/>
      <c r="E16" s="287">
        <f>+'内訳(機械)補助'!H54</f>
        <v>0</v>
      </c>
      <c r="F16" s="106">
        <f>+'内訳(電気)補助'!H52</f>
        <v>0</v>
      </c>
      <c r="G16" s="3"/>
    </row>
    <row r="17" spans="2:11" ht="23.1" customHeight="1">
      <c r="B17" s="19"/>
      <c r="C17" s="540"/>
      <c r="D17" s="21"/>
      <c r="E17" s="288">
        <f>+'内訳(機械)補助'!H55</f>
        <v>0</v>
      </c>
      <c r="F17" s="110">
        <f>+'内訳(電気)補助'!H53</f>
        <v>0</v>
      </c>
      <c r="G17" s="1"/>
    </row>
    <row r="18" spans="2:11" ht="23.1" customHeight="1">
      <c r="B18" s="16"/>
      <c r="C18" s="539" t="s">
        <v>140</v>
      </c>
      <c r="D18" s="18"/>
      <c r="E18" s="287">
        <f>+'内訳(機械)補助'!H62</f>
        <v>0</v>
      </c>
      <c r="F18" s="106">
        <f>+'内訳(電気)補助'!H60</f>
        <v>0</v>
      </c>
      <c r="G18" s="3"/>
    </row>
    <row r="19" spans="2:11" ht="23.1" customHeight="1">
      <c r="B19" s="19"/>
      <c r="C19" s="540"/>
      <c r="D19" s="21"/>
      <c r="E19" s="288">
        <f>+'内訳(機械)補助'!H63</f>
        <v>0</v>
      </c>
      <c r="F19" s="110">
        <f>+'内訳(電気)補助'!H61</f>
        <v>0</v>
      </c>
      <c r="G19" s="1"/>
      <c r="I19" s="36" t="e">
        <f>E22*0.1</f>
        <v>#REF!</v>
      </c>
    </row>
    <row r="20" spans="2:11" ht="23.1" customHeight="1">
      <c r="B20" s="16"/>
      <c r="C20" s="539" t="s">
        <v>145</v>
      </c>
      <c r="D20" s="18"/>
      <c r="E20" s="287" t="e">
        <f>'内訳(機械)補助'!#REF!</f>
        <v>#REF!</v>
      </c>
      <c r="F20" s="106" t="e">
        <f>'内訳(電気)補助'!#REF!</f>
        <v>#REF!</v>
      </c>
      <c r="G20" s="3"/>
    </row>
    <row r="21" spans="2:11" ht="23.1" customHeight="1">
      <c r="B21" s="19"/>
      <c r="C21" s="540"/>
      <c r="D21" s="21"/>
      <c r="E21" s="288">
        <f>+'内訳(機械)補助'!H65</f>
        <v>0</v>
      </c>
      <c r="F21" s="110">
        <f>+'内訳(電気)補助'!H63</f>
        <v>0</v>
      </c>
      <c r="G21" s="1"/>
    </row>
    <row r="22" spans="2:11" ht="23.1" customHeight="1">
      <c r="B22" s="16"/>
      <c r="C22" s="539" t="s">
        <v>438</v>
      </c>
      <c r="D22" s="18"/>
      <c r="E22" s="541" t="e">
        <f>+SUM(E20,F20)</f>
        <v>#REF!</v>
      </c>
      <c r="F22" s="542"/>
      <c r="G22" s="3"/>
      <c r="I22" s="541"/>
      <c r="J22" s="542"/>
    </row>
    <row r="23" spans="2:11" ht="23.1" customHeight="1">
      <c r="B23" s="19"/>
      <c r="C23" s="540"/>
      <c r="D23" s="21"/>
      <c r="E23" s="543">
        <f>+SUM(E21,F21)</f>
        <v>0</v>
      </c>
      <c r="F23" s="544"/>
      <c r="G23" s="1"/>
    </row>
    <row r="24" spans="2:11" ht="23.1" customHeight="1">
      <c r="B24" s="16"/>
      <c r="C24" s="539" t="s">
        <v>439</v>
      </c>
      <c r="D24" s="18"/>
      <c r="E24" s="541" t="e">
        <f>ROUNDDOWN(I19,0)</f>
        <v>#REF!</v>
      </c>
      <c r="F24" s="542"/>
      <c r="G24" s="3"/>
      <c r="J24" s="541"/>
      <c r="K24" s="542"/>
    </row>
    <row r="25" spans="2:11" ht="23.1" customHeight="1">
      <c r="B25" s="19"/>
      <c r="C25" s="540"/>
      <c r="D25" s="21"/>
      <c r="E25" s="543">
        <f>+E23*10%</f>
        <v>0</v>
      </c>
      <c r="F25" s="544"/>
      <c r="G25" s="1"/>
    </row>
    <row r="26" spans="2:11" ht="23.1" customHeight="1">
      <c r="B26" s="16"/>
      <c r="C26" s="539" t="s">
        <v>440</v>
      </c>
      <c r="D26" s="18"/>
      <c r="E26" s="541" t="e">
        <f>+E22+E24</f>
        <v>#REF!</v>
      </c>
      <c r="F26" s="542"/>
      <c r="G26" s="3"/>
    </row>
    <row r="27" spans="2:11" ht="23.1" customHeight="1">
      <c r="B27" s="19"/>
      <c r="C27" s="540"/>
      <c r="D27" s="21"/>
      <c r="E27" s="543">
        <f>+E23+E25</f>
        <v>0</v>
      </c>
      <c r="F27" s="544"/>
      <c r="G27" s="1"/>
    </row>
    <row r="28" spans="2:11" ht="23.1" customHeight="1">
      <c r="B28" s="16"/>
      <c r="C28" s="539" t="s">
        <v>441</v>
      </c>
      <c r="D28" s="18"/>
      <c r="E28" s="541"/>
      <c r="F28" s="542"/>
      <c r="G28" s="3"/>
    </row>
    <row r="29" spans="2:11" ht="23.1" customHeight="1">
      <c r="B29" s="19"/>
      <c r="C29" s="540"/>
      <c r="D29" s="21"/>
      <c r="E29" s="543"/>
      <c r="F29" s="544"/>
      <c r="G29" s="1"/>
    </row>
    <row r="30" spans="2:11" ht="23.1" customHeight="1">
      <c r="B30" s="16"/>
      <c r="C30" s="539" t="s">
        <v>439</v>
      </c>
      <c r="D30" s="18"/>
      <c r="E30" s="541"/>
      <c r="F30" s="542"/>
      <c r="G30" s="3"/>
    </row>
    <row r="31" spans="2:11" ht="23.1" customHeight="1">
      <c r="B31" s="19"/>
      <c r="C31" s="540"/>
      <c r="D31" s="21"/>
      <c r="E31" s="543"/>
      <c r="F31" s="544"/>
      <c r="G31" s="1"/>
    </row>
    <row r="32" spans="2:11" ht="23.1" customHeight="1">
      <c r="B32" s="16"/>
      <c r="C32" s="539" t="s">
        <v>442</v>
      </c>
      <c r="D32" s="18"/>
      <c r="E32" s="541"/>
      <c r="F32" s="542"/>
      <c r="G32" s="3"/>
    </row>
    <row r="33" spans="2:7" ht="23.1" customHeight="1">
      <c r="B33" s="19"/>
      <c r="C33" s="540"/>
      <c r="D33" s="21"/>
      <c r="E33" s="543"/>
      <c r="F33" s="544"/>
      <c r="G33" s="1"/>
    </row>
  </sheetData>
  <mergeCells count="32">
    <mergeCell ref="C20:C21"/>
    <mergeCell ref="E2:F3"/>
    <mergeCell ref="C4:C5"/>
    <mergeCell ref="E4:F4"/>
    <mergeCell ref="G4:G5"/>
    <mergeCell ref="C6:C7"/>
    <mergeCell ref="C8:C9"/>
    <mergeCell ref="C10:C11"/>
    <mergeCell ref="C12:C13"/>
    <mergeCell ref="C14:C15"/>
    <mergeCell ref="C16:C17"/>
    <mergeCell ref="C18:C19"/>
    <mergeCell ref="C22:C23"/>
    <mergeCell ref="E22:F22"/>
    <mergeCell ref="I22:J22"/>
    <mergeCell ref="E23:F23"/>
    <mergeCell ref="C24:C25"/>
    <mergeCell ref="E24:F24"/>
    <mergeCell ref="J24:K24"/>
    <mergeCell ref="E25:F25"/>
    <mergeCell ref="C26:C27"/>
    <mergeCell ref="E26:F26"/>
    <mergeCell ref="E27:F27"/>
    <mergeCell ref="C28:C29"/>
    <mergeCell ref="E28:F28"/>
    <mergeCell ref="E29:F29"/>
    <mergeCell ref="C30:C31"/>
    <mergeCell ref="E30:F30"/>
    <mergeCell ref="E31:F31"/>
    <mergeCell ref="C32:C33"/>
    <mergeCell ref="E32:F32"/>
    <mergeCell ref="E33:F33"/>
  </mergeCells>
  <phoneticPr fontId="3"/>
  <hyperlinks>
    <hyperlink ref="A1" location="menu!A1" display="menu" xr:uid="{00000000-0004-0000-0400-000000000000}"/>
  </hyperlinks>
  <printOptions horizontalCentered="1"/>
  <pageMargins left="0.78740157480314965" right="0.39370078740157483"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B7:K41"/>
  <sheetViews>
    <sheetView showGridLines="0" view="pageBreakPreview" zoomScaleNormal="100" zoomScaleSheetLayoutView="100" workbookViewId="0">
      <selection activeCell="D31" sqref="D31"/>
    </sheetView>
  </sheetViews>
  <sheetFormatPr defaultRowHeight="18.75"/>
  <sheetData>
    <row r="7" spans="2:9" ht="18.75" customHeight="1">
      <c r="B7" s="530" t="s">
        <v>950</v>
      </c>
      <c r="C7" s="530"/>
      <c r="D7" s="530"/>
    </row>
    <row r="8" spans="2:9" ht="18.75" customHeight="1">
      <c r="B8" s="530"/>
      <c r="C8" s="530"/>
      <c r="D8" s="530"/>
    </row>
    <row r="9" spans="2:9">
      <c r="B9" s="530" t="s">
        <v>955</v>
      </c>
      <c r="C9" s="530"/>
      <c r="D9" s="530"/>
      <c r="E9" s="530"/>
      <c r="F9" s="530"/>
      <c r="G9" s="530"/>
      <c r="H9" s="530"/>
      <c r="I9" s="530"/>
    </row>
    <row r="10" spans="2:9">
      <c r="B10" s="530"/>
      <c r="C10" s="530"/>
      <c r="D10" s="530"/>
      <c r="E10" s="530"/>
      <c r="F10" s="530"/>
      <c r="G10" s="530"/>
      <c r="H10" s="530"/>
      <c r="I10" s="530"/>
    </row>
    <row r="11" spans="2:9">
      <c r="B11" s="550" t="s">
        <v>956</v>
      </c>
      <c r="C11" s="550"/>
      <c r="D11" s="550"/>
      <c r="E11" s="550"/>
      <c r="F11" s="550"/>
      <c r="G11" s="550"/>
      <c r="H11" s="550"/>
      <c r="I11" s="550"/>
    </row>
    <row r="12" spans="2:9">
      <c r="B12" s="550"/>
      <c r="C12" s="550"/>
      <c r="D12" s="550"/>
      <c r="E12" s="550"/>
      <c r="F12" s="550"/>
      <c r="G12" s="550"/>
      <c r="H12" s="550"/>
      <c r="I12" s="550"/>
    </row>
    <row r="14" spans="2:9">
      <c r="B14" s="530" t="s">
        <v>957</v>
      </c>
      <c r="C14" s="530"/>
      <c r="D14" s="530"/>
      <c r="E14" s="530"/>
      <c r="F14" s="530"/>
      <c r="G14" s="530"/>
      <c r="H14" s="530"/>
      <c r="I14" s="530"/>
    </row>
    <row r="15" spans="2:9">
      <c r="B15" s="530"/>
      <c r="C15" s="530"/>
      <c r="D15" s="530"/>
      <c r="E15" s="530"/>
      <c r="F15" s="530"/>
      <c r="G15" s="530"/>
      <c r="H15" s="530"/>
      <c r="I15" s="530"/>
    </row>
    <row r="35" spans="2:11">
      <c r="B35" s="528" t="s">
        <v>951</v>
      </c>
      <c r="C35" s="528"/>
      <c r="D35" s="528"/>
      <c r="E35" s="528"/>
      <c r="F35" s="528"/>
      <c r="G35" s="528"/>
      <c r="H35" s="528"/>
      <c r="I35" s="528"/>
    </row>
    <row r="36" spans="2:11">
      <c r="B36" s="528"/>
      <c r="C36" s="528"/>
      <c r="D36" s="528"/>
      <c r="E36" s="528"/>
      <c r="F36" s="528"/>
      <c r="G36" s="528"/>
      <c r="H36" s="528"/>
      <c r="I36" s="528"/>
    </row>
    <row r="37" spans="2:11">
      <c r="B37" s="528" t="s">
        <v>211</v>
      </c>
      <c r="C37" s="528"/>
      <c r="D37" s="528"/>
      <c r="E37" s="528"/>
      <c r="F37" s="528"/>
      <c r="G37" s="528"/>
      <c r="H37" s="528"/>
      <c r="I37" s="528"/>
    </row>
    <row r="38" spans="2:11">
      <c r="B38" s="528"/>
      <c r="C38" s="528"/>
      <c r="D38" s="528"/>
      <c r="E38" s="528"/>
      <c r="F38" s="528"/>
      <c r="G38" s="528"/>
      <c r="H38" s="528"/>
      <c r="I38" s="528"/>
    </row>
    <row r="41" spans="2:11">
      <c r="K41" t="s">
        <v>958</v>
      </c>
    </row>
  </sheetData>
  <mergeCells count="6">
    <mergeCell ref="B37:I38"/>
    <mergeCell ref="B7:D8"/>
    <mergeCell ref="B9:I10"/>
    <mergeCell ref="B11:I12"/>
    <mergeCell ref="B14:I15"/>
    <mergeCell ref="B35:I36"/>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B2:W271"/>
  <sheetViews>
    <sheetView showGridLines="0" showZeros="0" view="pageBreakPreview" topLeftCell="A41" zoomScale="85" zoomScaleNormal="85" zoomScaleSheetLayoutView="85" workbookViewId="0">
      <selection activeCell="D31" sqref="D31"/>
    </sheetView>
  </sheetViews>
  <sheetFormatPr defaultRowHeight="18.75"/>
  <cols>
    <col min="2" max="4" width="12.625" customWidth="1"/>
    <col min="5" max="5" width="23.625" customWidth="1"/>
    <col min="7" max="7" width="5.625" customWidth="1"/>
    <col min="8" max="9" width="12.625" customWidth="1"/>
    <col min="10" max="10" width="20.625" customWidth="1"/>
    <col min="12" max="17" width="9" customWidth="1"/>
    <col min="19" max="20" width="10.625" customWidth="1"/>
  </cols>
  <sheetData>
    <row r="2" spans="2:13">
      <c r="B2" s="16"/>
      <c r="C2" s="17"/>
      <c r="D2" s="545" t="s">
        <v>111</v>
      </c>
      <c r="E2" s="546"/>
      <c r="F2" s="546"/>
      <c r="G2" s="546"/>
      <c r="H2" s="546"/>
      <c r="I2" s="546"/>
      <c r="J2" s="18"/>
    </row>
    <row r="3" spans="2:13">
      <c r="B3" s="19"/>
      <c r="C3" s="20"/>
      <c r="D3" s="547"/>
      <c r="E3" s="547"/>
      <c r="F3" s="547"/>
      <c r="G3" s="547"/>
      <c r="H3" s="547"/>
      <c r="I3" s="547"/>
      <c r="J3" s="103" t="s">
        <v>112</v>
      </c>
    </row>
    <row r="4" spans="2:13">
      <c r="B4" s="552" t="s">
        <v>113</v>
      </c>
      <c r="C4" s="552" t="s">
        <v>114</v>
      </c>
      <c r="D4" s="552" t="s">
        <v>115</v>
      </c>
      <c r="E4" s="552"/>
      <c r="F4" s="552" t="s">
        <v>2</v>
      </c>
      <c r="G4" s="552" t="s">
        <v>3</v>
      </c>
      <c r="H4" s="552" t="s">
        <v>6</v>
      </c>
      <c r="I4" s="552" t="s">
        <v>7</v>
      </c>
      <c r="J4" s="552" t="s">
        <v>8</v>
      </c>
    </row>
    <row r="5" spans="2:13">
      <c r="B5" s="552"/>
      <c r="C5" s="552"/>
      <c r="D5" s="552"/>
      <c r="E5" s="552"/>
      <c r="F5" s="552"/>
      <c r="G5" s="552"/>
      <c r="H5" s="552"/>
      <c r="I5" s="552"/>
      <c r="J5" s="552"/>
    </row>
    <row r="6" spans="2:13">
      <c r="B6" s="2" t="s">
        <v>959</v>
      </c>
      <c r="C6" s="2"/>
      <c r="D6" s="2"/>
      <c r="E6" s="2"/>
      <c r="F6" s="3"/>
      <c r="G6" s="3"/>
      <c r="H6" s="3"/>
      <c r="I6" s="3"/>
      <c r="J6" s="8"/>
    </row>
    <row r="7" spans="2:13">
      <c r="B7" s="1"/>
      <c r="C7" s="1"/>
      <c r="D7" s="1"/>
      <c r="E7" s="1"/>
      <c r="F7" s="1"/>
      <c r="G7" s="1"/>
      <c r="H7" s="1"/>
      <c r="I7" s="1"/>
      <c r="J7" s="9"/>
    </row>
    <row r="8" spans="2:13">
      <c r="B8" s="2"/>
      <c r="C8" s="2" t="s">
        <v>116</v>
      </c>
      <c r="D8" s="2"/>
      <c r="E8" s="2"/>
      <c r="F8" s="3"/>
      <c r="G8" s="3"/>
      <c r="H8" s="3"/>
      <c r="I8" s="3"/>
      <c r="J8" s="8"/>
    </row>
    <row r="9" spans="2:13">
      <c r="B9" s="1"/>
      <c r="C9" s="1"/>
      <c r="D9" s="1"/>
      <c r="E9" s="1"/>
      <c r="F9" s="1"/>
      <c r="G9" s="1"/>
      <c r="H9" s="1"/>
      <c r="I9" s="1"/>
      <c r="J9" s="9"/>
    </row>
    <row r="10" spans="2:13">
      <c r="B10" s="2"/>
      <c r="C10" s="2"/>
      <c r="D10" s="2" t="s">
        <v>10</v>
      </c>
      <c r="E10" s="2"/>
      <c r="F10" s="3"/>
      <c r="G10" s="3"/>
      <c r="H10" s="3"/>
      <c r="I10" s="3"/>
      <c r="J10" s="8"/>
    </row>
    <row r="11" spans="2:13">
      <c r="B11" s="1"/>
      <c r="C11" s="1"/>
      <c r="D11" s="1"/>
      <c r="E11" s="1"/>
      <c r="F11" s="1"/>
      <c r="G11" s="1"/>
      <c r="H11" s="1"/>
      <c r="I11" s="1"/>
      <c r="J11" s="9"/>
    </row>
    <row r="12" spans="2:13">
      <c r="B12" s="2"/>
      <c r="C12" s="2"/>
      <c r="D12" s="2"/>
      <c r="E12" s="2" t="s">
        <v>10</v>
      </c>
      <c r="F12" s="104">
        <v>1</v>
      </c>
      <c r="G12" s="105" t="s">
        <v>117</v>
      </c>
      <c r="H12" s="400" t="e">
        <f>#REF!</f>
        <v>#REF!</v>
      </c>
      <c r="I12" s="106" t="e">
        <f>+IF(F12&gt;0,F12*H12,0)</f>
        <v>#REF!</v>
      </c>
      <c r="J12" s="8"/>
      <c r="L12" s="107" t="e">
        <f>+I12</f>
        <v>#REF!</v>
      </c>
      <c r="M12" s="107">
        <f>+I13</f>
        <v>0</v>
      </c>
    </row>
    <row r="13" spans="2:13">
      <c r="B13" s="1"/>
      <c r="C13" s="1"/>
      <c r="D13" s="1"/>
      <c r="E13" s="6" t="s">
        <v>910</v>
      </c>
      <c r="F13" s="108"/>
      <c r="G13" s="109"/>
      <c r="H13" s="401"/>
      <c r="I13" s="110">
        <f>+IF(F13&gt;0,F13*H13,0)</f>
        <v>0</v>
      </c>
      <c r="J13" s="9"/>
      <c r="L13" s="111"/>
      <c r="M13" s="111"/>
    </row>
    <row r="14" spans="2:13">
      <c r="B14" s="2"/>
      <c r="C14" s="2"/>
      <c r="D14" s="2"/>
      <c r="E14" s="2" t="s">
        <v>10</v>
      </c>
      <c r="F14" s="104">
        <v>1</v>
      </c>
      <c r="G14" s="105" t="s">
        <v>117</v>
      </c>
      <c r="H14" s="400"/>
      <c r="I14" s="106">
        <f t="shared" ref="I14:I33" si="0">+IF(F14&gt;0,F14*H14,0)</f>
        <v>0</v>
      </c>
      <c r="J14" s="8"/>
      <c r="L14" s="107">
        <f t="shared" ref="L14" si="1">+I14</f>
        <v>0</v>
      </c>
      <c r="M14" s="107">
        <f t="shared" ref="M14" si="2">+I15</f>
        <v>0</v>
      </c>
    </row>
    <row r="15" spans="2:13">
      <c r="B15" s="1"/>
      <c r="C15" s="1"/>
      <c r="D15" s="1"/>
      <c r="E15" s="6" t="s">
        <v>911</v>
      </c>
      <c r="F15" s="108"/>
      <c r="G15" s="109"/>
      <c r="H15" s="401"/>
      <c r="I15" s="110">
        <f t="shared" si="0"/>
        <v>0</v>
      </c>
      <c r="J15" s="9"/>
      <c r="L15" s="111"/>
      <c r="M15" s="111"/>
    </row>
    <row r="16" spans="2:13" hidden="1">
      <c r="B16" s="2"/>
      <c r="C16" s="2"/>
      <c r="D16" s="2"/>
      <c r="E16" s="2"/>
      <c r="F16" s="104"/>
      <c r="G16" s="105" t="s">
        <v>117</v>
      </c>
      <c r="H16" s="400"/>
      <c r="I16" s="106">
        <f t="shared" si="0"/>
        <v>0</v>
      </c>
      <c r="J16" s="8"/>
      <c r="L16" s="107">
        <f t="shared" ref="L16" si="3">+I16</f>
        <v>0</v>
      </c>
      <c r="M16" s="107">
        <f t="shared" ref="M16" si="4">+I17</f>
        <v>0</v>
      </c>
    </row>
    <row r="17" spans="2:13" hidden="1">
      <c r="B17" s="1"/>
      <c r="C17" s="1"/>
      <c r="D17" s="1"/>
      <c r="E17" s="6"/>
      <c r="F17" s="108"/>
      <c r="G17" s="109"/>
      <c r="H17" s="401"/>
      <c r="I17" s="110">
        <f t="shared" si="0"/>
        <v>0</v>
      </c>
      <c r="J17" s="9"/>
      <c r="L17" s="111"/>
      <c r="M17" s="111"/>
    </row>
    <row r="18" spans="2:13" hidden="1">
      <c r="B18" s="2"/>
      <c r="C18" s="2"/>
      <c r="D18" s="2"/>
      <c r="E18" s="2"/>
      <c r="F18" s="104"/>
      <c r="G18" s="105" t="s">
        <v>117</v>
      </c>
      <c r="H18" s="400"/>
      <c r="I18" s="106">
        <f t="shared" si="0"/>
        <v>0</v>
      </c>
      <c r="J18" s="8"/>
      <c r="L18" s="107">
        <f t="shared" ref="L18" si="5">+I18</f>
        <v>0</v>
      </c>
      <c r="M18" s="107">
        <f t="shared" ref="M18" si="6">+I19</f>
        <v>0</v>
      </c>
    </row>
    <row r="19" spans="2:13" hidden="1">
      <c r="B19" s="1"/>
      <c r="C19" s="1"/>
      <c r="D19" s="1"/>
      <c r="E19" s="6"/>
      <c r="F19" s="108"/>
      <c r="G19" s="109"/>
      <c r="H19" s="401"/>
      <c r="I19" s="110">
        <f t="shared" si="0"/>
        <v>0</v>
      </c>
      <c r="J19" s="9"/>
      <c r="L19" s="111"/>
      <c r="M19" s="111"/>
    </row>
    <row r="20" spans="2:13" hidden="1">
      <c r="B20" s="2"/>
      <c r="C20" s="2"/>
      <c r="D20" s="2"/>
      <c r="E20" s="2" t="s">
        <v>10</v>
      </c>
      <c r="F20" s="104"/>
      <c r="G20" s="105" t="s">
        <v>117</v>
      </c>
      <c r="H20" s="400"/>
      <c r="I20" s="106">
        <f t="shared" si="0"/>
        <v>0</v>
      </c>
      <c r="J20" s="8"/>
      <c r="L20" s="107">
        <f t="shared" ref="L20" si="7">+I20</f>
        <v>0</v>
      </c>
      <c r="M20" s="107">
        <f t="shared" ref="M20" si="8">+I21</f>
        <v>0</v>
      </c>
    </row>
    <row r="21" spans="2:13" hidden="1">
      <c r="B21" s="1"/>
      <c r="C21" s="1"/>
      <c r="D21" s="1"/>
      <c r="E21" s="6" t="s">
        <v>960</v>
      </c>
      <c r="F21" s="108"/>
      <c r="G21" s="109"/>
      <c r="H21" s="401"/>
      <c r="I21" s="110">
        <f t="shared" si="0"/>
        <v>0</v>
      </c>
      <c r="J21" s="9"/>
      <c r="L21" s="111"/>
      <c r="M21" s="111"/>
    </row>
    <row r="22" spans="2:13" hidden="1">
      <c r="B22" s="2"/>
      <c r="C22" s="2"/>
      <c r="D22" s="2"/>
      <c r="E22" s="2" t="s">
        <v>10</v>
      </c>
      <c r="F22" s="104"/>
      <c r="G22" s="105"/>
      <c r="H22" s="402"/>
      <c r="I22" s="106">
        <f t="shared" si="0"/>
        <v>0</v>
      </c>
      <c r="J22" s="8"/>
      <c r="L22" s="107">
        <f t="shared" ref="L22" si="9">+I22</f>
        <v>0</v>
      </c>
      <c r="M22" s="107">
        <f t="shared" ref="M22" si="10">+I23</f>
        <v>0</v>
      </c>
    </row>
    <row r="23" spans="2:13" hidden="1">
      <c r="B23" s="1"/>
      <c r="C23" s="1"/>
      <c r="D23" s="1"/>
      <c r="E23" s="6" t="s">
        <v>961</v>
      </c>
      <c r="F23" s="108"/>
      <c r="G23" s="109"/>
      <c r="H23" s="403"/>
      <c r="I23" s="110">
        <f t="shared" si="0"/>
        <v>0</v>
      </c>
      <c r="J23" s="9"/>
      <c r="L23" s="111"/>
      <c r="M23" s="111"/>
    </row>
    <row r="24" spans="2:13" hidden="1">
      <c r="B24" s="2"/>
      <c r="C24" s="2"/>
      <c r="D24" s="2"/>
      <c r="E24" s="2" t="s">
        <v>10</v>
      </c>
      <c r="F24" s="104"/>
      <c r="G24" s="105"/>
      <c r="H24" s="402"/>
      <c r="I24" s="106">
        <f t="shared" si="0"/>
        <v>0</v>
      </c>
      <c r="J24" s="8"/>
      <c r="L24" s="107">
        <f t="shared" ref="L24" si="11">+I24</f>
        <v>0</v>
      </c>
      <c r="M24" s="107">
        <f t="shared" ref="M24" si="12">+I25</f>
        <v>0</v>
      </c>
    </row>
    <row r="25" spans="2:13" hidden="1">
      <c r="B25" s="1"/>
      <c r="C25" s="1"/>
      <c r="D25" s="1"/>
      <c r="E25" s="6" t="s">
        <v>962</v>
      </c>
      <c r="F25" s="108"/>
      <c r="G25" s="109"/>
      <c r="H25" s="403"/>
      <c r="I25" s="110">
        <f t="shared" si="0"/>
        <v>0</v>
      </c>
      <c r="J25" s="9"/>
      <c r="L25" s="111"/>
      <c r="M25" s="111"/>
    </row>
    <row r="26" spans="2:13" hidden="1">
      <c r="B26" s="2"/>
      <c r="C26" s="2"/>
      <c r="D26" s="2"/>
      <c r="E26" s="2" t="s">
        <v>10</v>
      </c>
      <c r="F26" s="104"/>
      <c r="G26" s="105" t="s">
        <v>117</v>
      </c>
      <c r="H26" s="402"/>
      <c r="I26" s="106">
        <f t="shared" si="0"/>
        <v>0</v>
      </c>
      <c r="J26" s="8"/>
      <c r="L26" s="107">
        <f t="shared" ref="L26" si="13">+I26</f>
        <v>0</v>
      </c>
      <c r="M26" s="107">
        <f t="shared" ref="M26" si="14">+I27</f>
        <v>0</v>
      </c>
    </row>
    <row r="27" spans="2:13" hidden="1">
      <c r="B27" s="1"/>
      <c r="C27" s="1"/>
      <c r="D27" s="1"/>
      <c r="E27" s="6" t="s">
        <v>963</v>
      </c>
      <c r="F27" s="108"/>
      <c r="G27" s="109"/>
      <c r="H27" s="403"/>
      <c r="I27" s="110">
        <f t="shared" si="0"/>
        <v>0</v>
      </c>
      <c r="J27" s="9"/>
      <c r="L27" s="111"/>
      <c r="M27" s="111"/>
    </row>
    <row r="28" spans="2:13" hidden="1">
      <c r="B28" s="2"/>
      <c r="C28" s="2"/>
      <c r="D28" s="2"/>
      <c r="E28" s="2" t="s">
        <v>10</v>
      </c>
      <c r="F28" s="104"/>
      <c r="G28" s="105" t="s">
        <v>117</v>
      </c>
      <c r="H28" s="402"/>
      <c r="I28" s="106">
        <f t="shared" si="0"/>
        <v>0</v>
      </c>
      <c r="J28" s="8"/>
      <c r="L28" s="107">
        <f t="shared" ref="L28" si="15">+I28</f>
        <v>0</v>
      </c>
      <c r="M28" s="107">
        <f t="shared" ref="M28" si="16">+I29</f>
        <v>0</v>
      </c>
    </row>
    <row r="29" spans="2:13" hidden="1">
      <c r="B29" s="1"/>
      <c r="C29" s="1"/>
      <c r="D29" s="1"/>
      <c r="E29" s="6" t="s">
        <v>964</v>
      </c>
      <c r="F29" s="108"/>
      <c r="G29" s="109"/>
      <c r="H29" s="403"/>
      <c r="I29" s="110">
        <f t="shared" si="0"/>
        <v>0</v>
      </c>
      <c r="J29" s="9"/>
      <c r="L29" s="111"/>
      <c r="M29" s="111"/>
    </row>
    <row r="30" spans="2:13" hidden="1">
      <c r="B30" s="2"/>
      <c r="C30" s="2"/>
      <c r="D30" s="2"/>
      <c r="E30" s="2" t="s">
        <v>10</v>
      </c>
      <c r="F30" s="104"/>
      <c r="G30" s="105" t="s">
        <v>117</v>
      </c>
      <c r="H30" s="402"/>
      <c r="I30" s="106">
        <f t="shared" si="0"/>
        <v>0</v>
      </c>
      <c r="J30" s="8"/>
      <c r="L30" s="107">
        <f t="shared" ref="L30" si="17">+I30</f>
        <v>0</v>
      </c>
      <c r="M30" s="107">
        <f t="shared" ref="M30" si="18">+I31</f>
        <v>0</v>
      </c>
    </row>
    <row r="31" spans="2:13" hidden="1">
      <c r="B31" s="1"/>
      <c r="C31" s="1"/>
      <c r="D31" s="1"/>
      <c r="E31" s="6" t="s">
        <v>965</v>
      </c>
      <c r="F31" s="108"/>
      <c r="G31" s="109"/>
      <c r="H31" s="403"/>
      <c r="I31" s="110">
        <f t="shared" si="0"/>
        <v>0</v>
      </c>
      <c r="J31" s="9"/>
      <c r="L31" s="111"/>
      <c r="M31" s="111"/>
    </row>
    <row r="32" spans="2:13" hidden="1">
      <c r="B32" s="2"/>
      <c r="C32" s="2"/>
      <c r="D32" s="2"/>
      <c r="E32" s="2" t="s">
        <v>10</v>
      </c>
      <c r="F32" s="104"/>
      <c r="G32" s="105" t="s">
        <v>117</v>
      </c>
      <c r="H32" s="402"/>
      <c r="I32" s="106">
        <f t="shared" si="0"/>
        <v>0</v>
      </c>
      <c r="J32" s="8"/>
      <c r="L32" s="107">
        <f t="shared" ref="L32" si="19">+I32</f>
        <v>0</v>
      </c>
      <c r="M32" s="107">
        <f t="shared" ref="M32" si="20">+I33</f>
        <v>0</v>
      </c>
    </row>
    <row r="33" spans="2:23" hidden="1">
      <c r="B33" s="1"/>
      <c r="C33" s="1"/>
      <c r="D33" s="1"/>
      <c r="E33" s="6" t="s">
        <v>966</v>
      </c>
      <c r="F33" s="108"/>
      <c r="G33" s="109"/>
      <c r="H33" s="403"/>
      <c r="I33" s="110">
        <f t="shared" si="0"/>
        <v>0</v>
      </c>
      <c r="J33" s="9"/>
      <c r="L33" s="111"/>
      <c r="M33" s="111"/>
    </row>
    <row r="34" spans="2:23">
      <c r="B34" s="2"/>
      <c r="C34" s="2"/>
      <c r="D34" s="2"/>
      <c r="E34" s="2" t="s">
        <v>118</v>
      </c>
      <c r="F34" s="4" t="e">
        <f>+IF(I34&gt;0,1,0)</f>
        <v>#REF!</v>
      </c>
      <c r="G34" s="105" t="s">
        <v>117</v>
      </c>
      <c r="H34" s="4"/>
      <c r="I34" s="106" t="e">
        <f>+L34</f>
        <v>#REF!</v>
      </c>
      <c r="J34" s="8" t="s">
        <v>119</v>
      </c>
      <c r="L34" s="112" t="e">
        <f>+SUM(L12:L33)</f>
        <v>#REF!</v>
      </c>
      <c r="M34" s="112">
        <f>+SUM(M12:M33)</f>
        <v>0</v>
      </c>
    </row>
    <row r="35" spans="2:23">
      <c r="B35" s="1"/>
      <c r="C35" s="1"/>
      <c r="D35" s="1"/>
      <c r="E35" s="6"/>
      <c r="F35" s="5">
        <f>+IF(I35&gt;0,1,0)</f>
        <v>0</v>
      </c>
      <c r="G35" s="109"/>
      <c r="H35" s="5"/>
      <c r="I35" s="110">
        <f>+M34</f>
        <v>0</v>
      </c>
      <c r="J35" s="9"/>
      <c r="L35" s="36"/>
    </row>
    <row r="36" spans="2:23">
      <c r="B36" s="2"/>
      <c r="C36" s="2"/>
      <c r="D36" s="2" t="s">
        <v>120</v>
      </c>
      <c r="E36" s="2"/>
      <c r="F36" s="3"/>
      <c r="G36" s="3"/>
      <c r="H36" s="3"/>
      <c r="I36" s="3"/>
      <c r="J36" s="8"/>
    </row>
    <row r="37" spans="2:23">
      <c r="B37" s="1"/>
      <c r="C37" s="1"/>
      <c r="D37" s="1"/>
      <c r="E37" s="1"/>
      <c r="F37" s="1"/>
      <c r="G37" s="1"/>
      <c r="H37" s="1"/>
      <c r="I37" s="1"/>
      <c r="J37" s="9"/>
    </row>
    <row r="38" spans="2:23">
      <c r="B38" s="2"/>
      <c r="C38" s="2"/>
      <c r="D38" s="2"/>
      <c r="E38" s="2" t="s">
        <v>120</v>
      </c>
      <c r="F38" s="104">
        <v>1</v>
      </c>
      <c r="G38" s="105" t="s">
        <v>117</v>
      </c>
      <c r="H38" s="400" t="e">
        <f>#REF!</f>
        <v>#REF!</v>
      </c>
      <c r="I38" s="106" t="e">
        <f>+IF(F38&gt;0,F38*H38,0)</f>
        <v>#REF!</v>
      </c>
      <c r="J38" s="8"/>
      <c r="L38" s="107" t="e">
        <f>+I38</f>
        <v>#REF!</v>
      </c>
      <c r="M38" s="107">
        <f>+I39</f>
        <v>0</v>
      </c>
      <c r="N38" s="113"/>
      <c r="O38" s="113"/>
    </row>
    <row r="39" spans="2:23">
      <c r="B39" s="1"/>
      <c r="C39" s="1"/>
      <c r="D39" s="1"/>
      <c r="E39" s="6" t="s">
        <v>910</v>
      </c>
      <c r="F39" s="108"/>
      <c r="G39" s="109"/>
      <c r="H39" s="401"/>
      <c r="I39" s="110">
        <f>+IF(F39&gt;0,F39*H39,0)</f>
        <v>0</v>
      </c>
      <c r="J39" s="9"/>
      <c r="L39" s="111"/>
      <c r="M39" s="111"/>
    </row>
    <row r="40" spans="2:23">
      <c r="B40" s="2"/>
      <c r="C40" s="2"/>
      <c r="D40" s="2"/>
      <c r="E40" s="2" t="s">
        <v>120</v>
      </c>
      <c r="F40" s="104">
        <v>1</v>
      </c>
      <c r="G40" s="105" t="s">
        <v>117</v>
      </c>
      <c r="H40" s="400">
        <f>'施行経費内訳 (単独)'!E8</f>
        <v>0</v>
      </c>
      <c r="I40" s="106">
        <f t="shared" ref="I40:I59" si="21">+IF(F40&gt;0,F40*H40,0)</f>
        <v>0</v>
      </c>
      <c r="J40" s="8"/>
      <c r="L40" s="107">
        <f t="shared" ref="L40" si="22">+I40</f>
        <v>0</v>
      </c>
      <c r="M40" s="107">
        <f t="shared" ref="M40" si="23">+I41</f>
        <v>0</v>
      </c>
      <c r="N40" s="36"/>
      <c r="P40" s="113"/>
      <c r="Q40" s="113"/>
    </row>
    <row r="41" spans="2:23">
      <c r="B41" s="1"/>
      <c r="C41" s="1"/>
      <c r="D41" s="1"/>
      <c r="E41" s="6" t="s">
        <v>911</v>
      </c>
      <c r="F41" s="108"/>
      <c r="G41" s="109"/>
      <c r="H41" s="401"/>
      <c r="I41" s="110">
        <f t="shared" si="21"/>
        <v>0</v>
      </c>
      <c r="J41" s="9"/>
      <c r="L41" s="111"/>
      <c r="M41" s="111"/>
      <c r="N41" s="36"/>
    </row>
    <row r="42" spans="2:23" hidden="1">
      <c r="B42" s="2"/>
      <c r="C42" s="2"/>
      <c r="D42" s="2"/>
      <c r="E42" s="2"/>
      <c r="F42" s="104"/>
      <c r="G42" s="105" t="s">
        <v>117</v>
      </c>
      <c r="H42" s="400"/>
      <c r="I42" s="106">
        <f t="shared" si="21"/>
        <v>0</v>
      </c>
      <c r="J42" s="8"/>
      <c r="L42" s="107">
        <f t="shared" ref="L42" si="24">+I42</f>
        <v>0</v>
      </c>
      <c r="M42" s="107">
        <f t="shared" ref="M42" si="25">+I43</f>
        <v>0</v>
      </c>
      <c r="O42" s="36"/>
      <c r="R42" s="113"/>
      <c r="S42" s="113"/>
    </row>
    <row r="43" spans="2:23" hidden="1">
      <c r="B43" s="1"/>
      <c r="C43" s="1"/>
      <c r="D43" s="1"/>
      <c r="E43" s="6"/>
      <c r="F43" s="108"/>
      <c r="G43" s="109"/>
      <c r="H43" s="401"/>
      <c r="I43" s="110">
        <f t="shared" si="21"/>
        <v>0</v>
      </c>
      <c r="J43" s="9"/>
      <c r="L43" s="111"/>
      <c r="M43" s="111"/>
      <c r="O43" s="36"/>
    </row>
    <row r="44" spans="2:23" hidden="1">
      <c r="B44" s="2"/>
      <c r="C44" s="2"/>
      <c r="D44" s="2"/>
      <c r="E44" s="2"/>
      <c r="F44" s="104"/>
      <c r="G44" s="105" t="s">
        <v>117</v>
      </c>
      <c r="H44" s="400"/>
      <c r="I44" s="106">
        <f t="shared" si="21"/>
        <v>0</v>
      </c>
      <c r="J44" s="8"/>
      <c r="L44" s="107">
        <f t="shared" ref="L44" si="26">+I44</f>
        <v>0</v>
      </c>
      <c r="M44" s="107">
        <f t="shared" ref="M44" si="27">+I45</f>
        <v>0</v>
      </c>
      <c r="P44" s="36"/>
      <c r="T44" s="113"/>
      <c r="U44" s="113"/>
    </row>
    <row r="45" spans="2:23" hidden="1">
      <c r="B45" s="1"/>
      <c r="C45" s="1"/>
      <c r="D45" s="1"/>
      <c r="E45" s="6"/>
      <c r="F45" s="108"/>
      <c r="G45" s="109"/>
      <c r="H45" s="401"/>
      <c r="I45" s="110">
        <f t="shared" si="21"/>
        <v>0</v>
      </c>
      <c r="J45" s="9"/>
      <c r="L45" s="111"/>
      <c r="M45" s="111"/>
      <c r="P45" s="36"/>
    </row>
    <row r="46" spans="2:23" hidden="1">
      <c r="B46" s="2"/>
      <c r="C46" s="2"/>
      <c r="D46" s="2"/>
      <c r="E46" s="2" t="s">
        <v>120</v>
      </c>
      <c r="F46" s="104"/>
      <c r="G46" s="105" t="s">
        <v>117</v>
      </c>
      <c r="H46" s="400"/>
      <c r="I46" s="106">
        <f t="shared" si="21"/>
        <v>0</v>
      </c>
      <c r="J46" s="8"/>
      <c r="L46" s="107">
        <f t="shared" ref="L46" si="28">+I46</f>
        <v>0</v>
      </c>
      <c r="M46" s="107">
        <f t="shared" ref="M46" si="29">+I47</f>
        <v>0</v>
      </c>
      <c r="Q46" s="36"/>
      <c r="V46" s="113"/>
      <c r="W46" s="113"/>
    </row>
    <row r="47" spans="2:23" hidden="1">
      <c r="B47" s="1"/>
      <c r="C47" s="1"/>
      <c r="D47" s="1"/>
      <c r="E47" s="6" t="s">
        <v>960</v>
      </c>
      <c r="F47" s="108"/>
      <c r="G47" s="109"/>
      <c r="H47" s="401"/>
      <c r="I47" s="110">
        <f t="shared" si="21"/>
        <v>0</v>
      </c>
      <c r="J47" s="9"/>
      <c r="L47" s="111"/>
      <c r="M47" s="111"/>
      <c r="Q47" s="36"/>
    </row>
    <row r="48" spans="2:23" hidden="1">
      <c r="B48" s="2"/>
      <c r="C48" s="2"/>
      <c r="D48" s="2"/>
      <c r="E48" s="2" t="s">
        <v>120</v>
      </c>
      <c r="F48" s="104"/>
      <c r="G48" s="105"/>
      <c r="H48" s="402"/>
      <c r="I48" s="106">
        <f t="shared" si="21"/>
        <v>0</v>
      </c>
      <c r="J48" s="8"/>
      <c r="L48" s="107">
        <f t="shared" ref="L48" si="30">+I48</f>
        <v>0</v>
      </c>
      <c r="M48" s="107">
        <f t="shared" ref="M48" si="31">+I49</f>
        <v>0</v>
      </c>
    </row>
    <row r="49" spans="2:15" hidden="1">
      <c r="B49" s="1"/>
      <c r="C49" s="1"/>
      <c r="D49" s="1"/>
      <c r="E49" s="6" t="s">
        <v>961</v>
      </c>
      <c r="F49" s="108"/>
      <c r="G49" s="109"/>
      <c r="H49" s="403"/>
      <c r="I49" s="110">
        <f t="shared" si="21"/>
        <v>0</v>
      </c>
      <c r="J49" s="9"/>
      <c r="L49" s="111"/>
      <c r="M49" s="111"/>
    </row>
    <row r="50" spans="2:15" hidden="1">
      <c r="B50" s="2"/>
      <c r="C50" s="2"/>
      <c r="D50" s="2"/>
      <c r="E50" s="2" t="s">
        <v>120</v>
      </c>
      <c r="F50" s="104"/>
      <c r="G50" s="105"/>
      <c r="H50" s="402"/>
      <c r="I50" s="106">
        <f t="shared" si="21"/>
        <v>0</v>
      </c>
      <c r="J50" s="8"/>
      <c r="L50" s="107">
        <f t="shared" ref="L50" si="32">+I50</f>
        <v>0</v>
      </c>
      <c r="M50" s="107">
        <f t="shared" ref="M50" si="33">+I51</f>
        <v>0</v>
      </c>
    </row>
    <row r="51" spans="2:15" hidden="1">
      <c r="B51" s="1"/>
      <c r="C51" s="1"/>
      <c r="D51" s="1"/>
      <c r="E51" s="6" t="s">
        <v>962</v>
      </c>
      <c r="F51" s="108"/>
      <c r="G51" s="109"/>
      <c r="H51" s="403"/>
      <c r="I51" s="110">
        <f t="shared" si="21"/>
        <v>0</v>
      </c>
      <c r="J51" s="9"/>
      <c r="L51" s="111"/>
      <c r="M51" s="111"/>
    </row>
    <row r="52" spans="2:15" hidden="1">
      <c r="B52" s="2"/>
      <c r="C52" s="2"/>
      <c r="D52" s="2"/>
      <c r="E52" s="2" t="s">
        <v>120</v>
      </c>
      <c r="F52" s="104"/>
      <c r="G52" s="105" t="s">
        <v>117</v>
      </c>
      <c r="H52" s="402"/>
      <c r="I52" s="106">
        <f t="shared" si="21"/>
        <v>0</v>
      </c>
      <c r="J52" s="8"/>
      <c r="L52" s="107">
        <f t="shared" ref="L52" si="34">+I52</f>
        <v>0</v>
      </c>
      <c r="M52" s="107">
        <f t="shared" ref="M52" si="35">+I53</f>
        <v>0</v>
      </c>
    </row>
    <row r="53" spans="2:15" hidden="1">
      <c r="B53" s="1"/>
      <c r="C53" s="1"/>
      <c r="D53" s="1"/>
      <c r="E53" s="6" t="s">
        <v>963</v>
      </c>
      <c r="F53" s="108"/>
      <c r="G53" s="109"/>
      <c r="H53" s="403"/>
      <c r="I53" s="110">
        <f t="shared" si="21"/>
        <v>0</v>
      </c>
      <c r="J53" s="9"/>
      <c r="L53" s="111"/>
      <c r="M53" s="111"/>
    </row>
    <row r="54" spans="2:15" hidden="1">
      <c r="B54" s="2"/>
      <c r="C54" s="2"/>
      <c r="D54" s="2"/>
      <c r="E54" s="2" t="s">
        <v>120</v>
      </c>
      <c r="F54" s="104"/>
      <c r="G54" s="105" t="s">
        <v>117</v>
      </c>
      <c r="H54" s="402"/>
      <c r="I54" s="106">
        <f t="shared" si="21"/>
        <v>0</v>
      </c>
      <c r="J54" s="8"/>
      <c r="L54" s="107">
        <f t="shared" ref="L54" si="36">+I54</f>
        <v>0</v>
      </c>
      <c r="M54" s="107">
        <f t="shared" ref="M54" si="37">+I55</f>
        <v>0</v>
      </c>
    </row>
    <row r="55" spans="2:15" hidden="1">
      <c r="B55" s="1"/>
      <c r="C55" s="1"/>
      <c r="D55" s="1"/>
      <c r="E55" s="6" t="s">
        <v>964</v>
      </c>
      <c r="F55" s="108"/>
      <c r="G55" s="109"/>
      <c r="H55" s="403"/>
      <c r="I55" s="110">
        <f t="shared" si="21"/>
        <v>0</v>
      </c>
      <c r="J55" s="9"/>
      <c r="L55" s="111"/>
      <c r="M55" s="111"/>
    </row>
    <row r="56" spans="2:15" hidden="1">
      <c r="B56" s="2"/>
      <c r="C56" s="2"/>
      <c r="D56" s="2"/>
      <c r="E56" s="2" t="s">
        <v>120</v>
      </c>
      <c r="F56" s="104"/>
      <c r="G56" s="105" t="s">
        <v>117</v>
      </c>
      <c r="H56" s="402"/>
      <c r="I56" s="106">
        <f t="shared" si="21"/>
        <v>0</v>
      </c>
      <c r="J56" s="8"/>
      <c r="L56" s="107">
        <f t="shared" ref="L56" si="38">+I56</f>
        <v>0</v>
      </c>
      <c r="M56" s="107">
        <f t="shared" ref="M56" si="39">+I57</f>
        <v>0</v>
      </c>
    </row>
    <row r="57" spans="2:15" hidden="1">
      <c r="B57" s="1"/>
      <c r="C57" s="1"/>
      <c r="D57" s="1"/>
      <c r="E57" s="6" t="s">
        <v>965</v>
      </c>
      <c r="F57" s="108"/>
      <c r="G57" s="109"/>
      <c r="H57" s="403"/>
      <c r="I57" s="110">
        <f t="shared" si="21"/>
        <v>0</v>
      </c>
      <c r="J57" s="9"/>
      <c r="L57" s="111"/>
      <c r="M57" s="111"/>
    </row>
    <row r="58" spans="2:15" hidden="1">
      <c r="B58" s="2"/>
      <c r="C58" s="2"/>
      <c r="D58" s="2"/>
      <c r="E58" s="2" t="s">
        <v>120</v>
      </c>
      <c r="F58" s="104"/>
      <c r="G58" s="105" t="s">
        <v>117</v>
      </c>
      <c r="H58" s="402"/>
      <c r="I58" s="106">
        <f t="shared" si="21"/>
        <v>0</v>
      </c>
      <c r="J58" s="8"/>
      <c r="L58" s="107">
        <f t="shared" ref="L58" si="40">+I58</f>
        <v>0</v>
      </c>
      <c r="M58" s="107">
        <f t="shared" ref="M58" si="41">+I59</f>
        <v>0</v>
      </c>
    </row>
    <row r="59" spans="2:15" hidden="1">
      <c r="B59" s="1"/>
      <c r="C59" s="1"/>
      <c r="D59" s="1"/>
      <c r="E59" s="6" t="s">
        <v>966</v>
      </c>
      <c r="F59" s="108"/>
      <c r="G59" s="109"/>
      <c r="H59" s="403"/>
      <c r="I59" s="110">
        <f t="shared" si="21"/>
        <v>0</v>
      </c>
      <c r="J59" s="9"/>
      <c r="L59" s="111"/>
      <c r="M59" s="111"/>
    </row>
    <row r="60" spans="2:15">
      <c r="B60" s="2"/>
      <c r="C60" s="2"/>
      <c r="D60" s="2"/>
      <c r="E60" s="2" t="s">
        <v>118</v>
      </c>
      <c r="F60" s="4" t="e">
        <f>+IF(I60&gt;0,1,0)</f>
        <v>#REF!</v>
      </c>
      <c r="G60" s="105" t="s">
        <v>117</v>
      </c>
      <c r="H60" s="4"/>
      <c r="I60" s="106" t="e">
        <f>+L60</f>
        <v>#REF!</v>
      </c>
      <c r="J60" s="8" t="s">
        <v>967</v>
      </c>
      <c r="L60" s="112" t="e">
        <f>+SUM(L38:L59)</f>
        <v>#REF!</v>
      </c>
      <c r="M60" s="112">
        <f>+SUM(M38:M59)</f>
        <v>0</v>
      </c>
      <c r="N60" s="113"/>
      <c r="O60" s="113"/>
    </row>
    <row r="61" spans="2:15">
      <c r="B61" s="1"/>
      <c r="C61" s="1"/>
      <c r="D61" s="1"/>
      <c r="E61" s="6"/>
      <c r="F61" s="5">
        <f>+IF(I61&gt;0,1,0)</f>
        <v>0</v>
      </c>
      <c r="G61" s="109"/>
      <c r="H61" s="5"/>
      <c r="I61" s="110">
        <f>+M60</f>
        <v>0</v>
      </c>
      <c r="J61" s="9"/>
      <c r="L61" s="36"/>
    </row>
    <row r="62" spans="2:15">
      <c r="B62" s="2"/>
      <c r="C62" s="2"/>
      <c r="D62" s="2" t="s">
        <v>121</v>
      </c>
      <c r="E62" s="2"/>
      <c r="F62" s="4"/>
      <c r="G62" s="105"/>
      <c r="H62" s="4"/>
      <c r="I62" s="4"/>
      <c r="J62" s="45"/>
    </row>
    <row r="63" spans="2:15">
      <c r="B63" s="1"/>
      <c r="C63" s="1"/>
      <c r="D63" s="1"/>
      <c r="E63" s="6"/>
      <c r="F63" s="5"/>
      <c r="G63" s="109"/>
      <c r="H63" s="5"/>
      <c r="I63" s="5"/>
      <c r="J63" s="9"/>
    </row>
    <row r="64" spans="2:15">
      <c r="B64" s="2"/>
      <c r="C64" s="2"/>
      <c r="D64" s="2"/>
      <c r="E64" s="2" t="s">
        <v>122</v>
      </c>
      <c r="F64" s="114" t="e">
        <f>+K170</f>
        <v>#REF!</v>
      </c>
      <c r="G64" s="105" t="s">
        <v>968</v>
      </c>
      <c r="H64" s="4" t="e">
        <f>+D167</f>
        <v>#REF!</v>
      </c>
      <c r="I64" s="106" t="e">
        <f>+IF(H64&gt;0,INT(H64*F64%/1000)*1000,0)</f>
        <v>#REF!</v>
      </c>
      <c r="J64" s="45" t="s">
        <v>124</v>
      </c>
    </row>
    <row r="65" spans="2:10">
      <c r="B65" s="1"/>
      <c r="C65" s="1"/>
      <c r="D65" s="1"/>
      <c r="E65" s="6"/>
      <c r="F65" s="115">
        <f>+K171</f>
        <v>0</v>
      </c>
      <c r="G65" s="109"/>
      <c r="H65" s="5">
        <f>+D168</f>
        <v>0</v>
      </c>
      <c r="I65" s="110">
        <f>+IF(H65&gt;0,INT(H65*F65%/1000)*1000,0)</f>
        <v>0</v>
      </c>
      <c r="J65" s="9"/>
    </row>
    <row r="66" spans="2:10">
      <c r="B66" s="2"/>
      <c r="C66" s="2"/>
      <c r="D66" s="2"/>
      <c r="E66" s="2" t="s">
        <v>44</v>
      </c>
      <c r="F66" s="4">
        <v>1</v>
      </c>
      <c r="G66" s="105" t="s">
        <v>117</v>
      </c>
      <c r="H66" s="4" t="e">
        <f>+SUM(H68,H70,H72,H74,H76,H78)</f>
        <v>#REF!</v>
      </c>
      <c r="I66" s="106" t="e">
        <f t="shared" ref="I66:I81" si="42">+IF(F66&gt;0,F66*H66,0)</f>
        <v>#REF!</v>
      </c>
      <c r="J66" s="45" t="s">
        <v>969</v>
      </c>
    </row>
    <row r="67" spans="2:10">
      <c r="B67" s="1"/>
      <c r="C67" s="1"/>
      <c r="D67" s="1"/>
      <c r="E67" s="6"/>
      <c r="F67" s="382"/>
      <c r="G67" s="109"/>
      <c r="H67" s="382"/>
      <c r="I67" s="404">
        <f t="shared" si="42"/>
        <v>0</v>
      </c>
      <c r="J67" s="9"/>
    </row>
    <row r="68" spans="2:10">
      <c r="B68" s="2"/>
      <c r="C68" s="2"/>
      <c r="D68" s="2"/>
      <c r="E68" s="2"/>
      <c r="F68" s="104">
        <v>1</v>
      </c>
      <c r="G68" s="105" t="s">
        <v>117</v>
      </c>
      <c r="H68" s="104" t="e">
        <f>'内訳(機械)補助'!#REF!</f>
        <v>#REF!</v>
      </c>
      <c r="I68" s="106" t="e">
        <f t="shared" si="42"/>
        <v>#REF!</v>
      </c>
      <c r="J68" s="45" t="s">
        <v>1007</v>
      </c>
    </row>
    <row r="69" spans="2:10">
      <c r="B69" s="1"/>
      <c r="C69" s="1"/>
      <c r="D69" s="1"/>
      <c r="E69" s="6" t="s">
        <v>910</v>
      </c>
      <c r="F69" s="405"/>
      <c r="G69" s="109"/>
      <c r="H69" s="405"/>
      <c r="I69" s="404">
        <f t="shared" si="42"/>
        <v>0</v>
      </c>
      <c r="J69" s="9"/>
    </row>
    <row r="70" spans="2:10">
      <c r="B70" s="2"/>
      <c r="C70" s="2"/>
      <c r="D70" s="2"/>
      <c r="E70" s="2"/>
      <c r="F70" s="104">
        <v>1</v>
      </c>
      <c r="G70" s="105" t="s">
        <v>117</v>
      </c>
      <c r="H70" s="104">
        <f>'内訳(機械)単独'!H48</f>
        <v>0</v>
      </c>
      <c r="I70" s="106">
        <f t="shared" si="42"/>
        <v>0</v>
      </c>
      <c r="J70" s="45" t="s">
        <v>1008</v>
      </c>
    </row>
    <row r="71" spans="2:10">
      <c r="B71" s="1"/>
      <c r="C71" s="1"/>
      <c r="D71" s="1"/>
      <c r="E71" s="6" t="s">
        <v>911</v>
      </c>
      <c r="F71" s="405"/>
      <c r="G71" s="109"/>
      <c r="H71" s="405"/>
      <c r="I71" s="404">
        <f t="shared" si="42"/>
        <v>0</v>
      </c>
      <c r="J71" s="45"/>
    </row>
    <row r="72" spans="2:10" hidden="1">
      <c r="B72" s="2"/>
      <c r="C72" s="2"/>
      <c r="D72" s="2"/>
      <c r="E72" s="2"/>
      <c r="F72" s="104"/>
      <c r="G72" s="105" t="s">
        <v>117</v>
      </c>
      <c r="H72" s="104"/>
      <c r="I72" s="106">
        <f t="shared" si="42"/>
        <v>0</v>
      </c>
      <c r="J72" s="45" t="s">
        <v>972</v>
      </c>
    </row>
    <row r="73" spans="2:10" hidden="1">
      <c r="B73" s="1"/>
      <c r="C73" s="1"/>
      <c r="D73" s="1"/>
      <c r="E73" s="6"/>
      <c r="F73" s="405"/>
      <c r="G73" s="109"/>
      <c r="H73" s="405"/>
      <c r="I73" s="404">
        <f t="shared" si="42"/>
        <v>0</v>
      </c>
      <c r="J73" s="9"/>
    </row>
    <row r="74" spans="2:10" hidden="1">
      <c r="B74" s="2"/>
      <c r="C74" s="2"/>
      <c r="D74" s="2"/>
      <c r="E74" s="2"/>
      <c r="F74" s="104"/>
      <c r="G74" s="105" t="s">
        <v>117</v>
      </c>
      <c r="H74" s="104"/>
      <c r="I74" s="106">
        <f t="shared" si="42"/>
        <v>0</v>
      </c>
      <c r="J74" s="45" t="s">
        <v>973</v>
      </c>
    </row>
    <row r="75" spans="2:10" hidden="1">
      <c r="B75" s="1"/>
      <c r="C75" s="1"/>
      <c r="D75" s="1"/>
      <c r="E75" s="6"/>
      <c r="F75" s="405"/>
      <c r="G75" s="109"/>
      <c r="H75" s="405"/>
      <c r="I75" s="404">
        <f t="shared" si="42"/>
        <v>0</v>
      </c>
      <c r="J75" s="9"/>
    </row>
    <row r="76" spans="2:10" hidden="1">
      <c r="B76" s="2"/>
      <c r="C76" s="2"/>
      <c r="D76" s="2"/>
      <c r="E76" s="2"/>
      <c r="F76" s="104"/>
      <c r="G76" s="105" t="s">
        <v>117</v>
      </c>
      <c r="H76" s="104"/>
      <c r="I76" s="106">
        <f t="shared" si="42"/>
        <v>0</v>
      </c>
      <c r="J76" s="45" t="s">
        <v>974</v>
      </c>
    </row>
    <row r="77" spans="2:10" hidden="1">
      <c r="B77" s="1"/>
      <c r="C77" s="1"/>
      <c r="D77" s="1"/>
      <c r="E77" s="6"/>
      <c r="F77" s="108"/>
      <c r="G77" s="109"/>
      <c r="H77" s="108"/>
      <c r="I77" s="110">
        <f t="shared" si="42"/>
        <v>0</v>
      </c>
      <c r="J77" s="9"/>
    </row>
    <row r="78" spans="2:10" hidden="1">
      <c r="B78" s="2"/>
      <c r="C78" s="2"/>
      <c r="D78" s="2"/>
      <c r="E78" s="2"/>
      <c r="F78" s="104"/>
      <c r="G78" s="105" t="s">
        <v>117</v>
      </c>
      <c r="H78" s="104"/>
      <c r="I78" s="106">
        <f t="shared" si="42"/>
        <v>0</v>
      </c>
      <c r="J78" s="45" t="s">
        <v>974</v>
      </c>
    </row>
    <row r="79" spans="2:10" hidden="1">
      <c r="B79" s="1"/>
      <c r="C79" s="1"/>
      <c r="D79" s="1"/>
      <c r="E79" s="6"/>
      <c r="F79" s="108"/>
      <c r="G79" s="109"/>
      <c r="H79" s="108"/>
      <c r="I79" s="110">
        <f t="shared" si="42"/>
        <v>0</v>
      </c>
      <c r="J79" s="9"/>
    </row>
    <row r="80" spans="2:10" hidden="1">
      <c r="B80" s="2"/>
      <c r="C80" s="2"/>
      <c r="D80" s="2"/>
      <c r="E80" s="2" t="s">
        <v>125</v>
      </c>
      <c r="F80" s="104"/>
      <c r="G80" s="105" t="s">
        <v>117</v>
      </c>
      <c r="H80" s="104"/>
      <c r="I80" s="106">
        <f t="shared" si="42"/>
        <v>0</v>
      </c>
      <c r="J80" s="45" t="s">
        <v>969</v>
      </c>
    </row>
    <row r="81" spans="2:20" hidden="1">
      <c r="B81" s="1"/>
      <c r="C81" s="1"/>
      <c r="D81" s="1"/>
      <c r="E81" s="6"/>
      <c r="F81" s="108"/>
      <c r="G81" s="109"/>
      <c r="H81" s="108"/>
      <c r="I81" s="110">
        <f t="shared" si="42"/>
        <v>0</v>
      </c>
      <c r="J81" s="9"/>
    </row>
    <row r="82" spans="2:20">
      <c r="B82" s="2"/>
      <c r="C82" s="2"/>
      <c r="D82" s="2"/>
      <c r="E82" s="2" t="s">
        <v>126</v>
      </c>
      <c r="F82" s="4"/>
      <c r="G82" s="105"/>
      <c r="H82" s="4"/>
      <c r="I82" s="4" t="e">
        <f>+SUM(I64,I66,I80)</f>
        <v>#REF!</v>
      </c>
      <c r="J82" s="45"/>
    </row>
    <row r="83" spans="2:20">
      <c r="B83" s="1"/>
      <c r="C83" s="1"/>
      <c r="D83" s="1"/>
      <c r="E83" s="6"/>
      <c r="F83" s="5"/>
      <c r="G83" s="109"/>
      <c r="H83" s="5"/>
      <c r="I83" s="382">
        <f>+SUM(I65,I67,I81)</f>
        <v>0</v>
      </c>
      <c r="J83" s="9"/>
    </row>
    <row r="84" spans="2:20">
      <c r="B84" s="2"/>
      <c r="C84" s="2"/>
      <c r="D84" s="2"/>
      <c r="E84" s="2" t="s">
        <v>127</v>
      </c>
      <c r="F84" s="114" t="e">
        <f>+K187</f>
        <v>#REF!</v>
      </c>
      <c r="G84" s="105" t="s">
        <v>968</v>
      </c>
      <c r="H84" s="4" t="e">
        <f>+D184</f>
        <v>#REF!</v>
      </c>
      <c r="I84" s="106" t="e">
        <f>+IF(H84&gt;0,INT(H84*F84%/1000)*1000,0)</f>
        <v>#REF!</v>
      </c>
      <c r="J84" s="45" t="s">
        <v>124</v>
      </c>
    </row>
    <row r="85" spans="2:20">
      <c r="B85" s="1"/>
      <c r="C85" s="1"/>
      <c r="D85" s="1"/>
      <c r="E85" s="6"/>
      <c r="F85" s="115">
        <f>+K188</f>
        <v>0</v>
      </c>
      <c r="G85" s="109"/>
      <c r="H85" s="5">
        <f>+D185</f>
        <v>0</v>
      </c>
      <c r="I85" s="404">
        <f>+IF(H85&gt;0,INT(H85*F85%/1000)*1000,0)</f>
        <v>0</v>
      </c>
      <c r="J85" s="9"/>
    </row>
    <row r="86" spans="2:20">
      <c r="B86" s="2"/>
      <c r="C86" s="2"/>
      <c r="D86" s="2"/>
      <c r="E86" s="2" t="s">
        <v>129</v>
      </c>
      <c r="F86" s="4"/>
      <c r="G86" s="105"/>
      <c r="H86" s="4"/>
      <c r="I86" s="4" t="e">
        <f>+I84</f>
        <v>#REF!</v>
      </c>
      <c r="J86" s="45"/>
    </row>
    <row r="87" spans="2:20">
      <c r="B87" s="1"/>
      <c r="C87" s="1"/>
      <c r="D87" s="1"/>
      <c r="E87" s="6"/>
      <c r="F87" s="5"/>
      <c r="G87" s="109"/>
      <c r="H87" s="5"/>
      <c r="I87" s="382">
        <f>+I85</f>
        <v>0</v>
      </c>
      <c r="J87" s="9"/>
      <c r="P87" s="553" t="s">
        <v>975</v>
      </c>
      <c r="Q87" s="553"/>
      <c r="R87" s="553"/>
      <c r="S87" s="159" t="s">
        <v>976</v>
      </c>
      <c r="T87" s="159" t="s">
        <v>977</v>
      </c>
    </row>
    <row r="88" spans="2:20">
      <c r="B88" s="2"/>
      <c r="C88" s="2"/>
      <c r="D88" s="2"/>
      <c r="E88" s="2" t="s">
        <v>130</v>
      </c>
      <c r="F88" s="4">
        <f>+IF(H88&gt;0,90,0)</f>
        <v>0</v>
      </c>
      <c r="G88" s="105" t="s">
        <v>968</v>
      </c>
      <c r="H88" s="104">
        <f>S99</f>
        <v>0</v>
      </c>
      <c r="I88" s="106">
        <f>+IF(H88&gt;0,INT(H88*F88%),0)</f>
        <v>0</v>
      </c>
      <c r="J88" s="45" t="s">
        <v>131</v>
      </c>
      <c r="L88" s="406"/>
      <c r="M88" s="20"/>
      <c r="N88" s="20"/>
      <c r="O88" s="20"/>
      <c r="P88" s="551" t="s">
        <v>910</v>
      </c>
      <c r="Q88" s="551"/>
      <c r="R88" s="551"/>
      <c r="S88" s="407">
        <f>'内訳(機械)補助'!G40</f>
        <v>0</v>
      </c>
      <c r="T88" s="407"/>
    </row>
    <row r="89" spans="2:20">
      <c r="B89" s="1"/>
      <c r="C89" s="1"/>
      <c r="D89" s="1"/>
      <c r="E89" s="6"/>
      <c r="F89" s="5"/>
      <c r="G89" s="109"/>
      <c r="H89" s="108"/>
      <c r="I89" s="404">
        <f>+IF(H89&gt;0,INT(H89*F89%),0)</f>
        <v>0</v>
      </c>
      <c r="J89" s="116" t="s">
        <v>1009</v>
      </c>
      <c r="P89" s="551" t="s">
        <v>911</v>
      </c>
      <c r="Q89" s="551"/>
      <c r="R89" s="551"/>
      <c r="S89" s="407">
        <f>'内訳(機械)単独'!H58</f>
        <v>0</v>
      </c>
      <c r="T89" s="407"/>
    </row>
    <row r="90" spans="2:20">
      <c r="B90" s="2"/>
      <c r="C90" s="2"/>
      <c r="D90" s="2"/>
      <c r="E90" s="2" t="s">
        <v>132</v>
      </c>
      <c r="F90" s="4"/>
      <c r="G90" s="105"/>
      <c r="H90" s="4"/>
      <c r="I90" s="4">
        <f>+I88</f>
        <v>0</v>
      </c>
      <c r="J90" s="45"/>
      <c r="P90" s="551"/>
      <c r="Q90" s="551"/>
      <c r="R90" s="551"/>
      <c r="S90" s="407"/>
      <c r="T90" s="407"/>
    </row>
    <row r="91" spans="2:20">
      <c r="B91" s="1"/>
      <c r="C91" s="1"/>
      <c r="D91" s="1"/>
      <c r="E91" s="6"/>
      <c r="F91" s="5"/>
      <c r="G91" s="109"/>
      <c r="H91" s="5"/>
      <c r="I91" s="382">
        <f>+I89</f>
        <v>0</v>
      </c>
      <c r="J91" s="9"/>
      <c r="P91" s="551"/>
      <c r="Q91" s="551"/>
      <c r="R91" s="551"/>
      <c r="S91" s="407"/>
      <c r="T91" s="407"/>
    </row>
    <row r="92" spans="2:20">
      <c r="B92" s="2"/>
      <c r="C92" s="2"/>
      <c r="D92" s="2"/>
      <c r="E92" s="2" t="s">
        <v>118</v>
      </c>
      <c r="F92" s="4"/>
      <c r="G92" s="105"/>
      <c r="H92" s="4"/>
      <c r="I92" s="4" t="e">
        <f>+SUM(I82,I86,I90)</f>
        <v>#REF!</v>
      </c>
      <c r="J92" s="45" t="s">
        <v>133</v>
      </c>
      <c r="P92" s="551"/>
      <c r="Q92" s="551"/>
      <c r="R92" s="551"/>
      <c r="S92" s="407"/>
      <c r="T92" s="407"/>
    </row>
    <row r="93" spans="2:20">
      <c r="B93" s="1"/>
      <c r="C93" s="1"/>
      <c r="D93" s="1"/>
      <c r="E93" s="6"/>
      <c r="F93" s="5"/>
      <c r="G93" s="109"/>
      <c r="H93" s="5"/>
      <c r="I93" s="382">
        <f>+SUM(I83,I87,I91)</f>
        <v>0</v>
      </c>
      <c r="J93" s="9"/>
      <c r="P93" s="551"/>
      <c r="Q93" s="551"/>
      <c r="R93" s="551"/>
      <c r="S93" s="407"/>
      <c r="T93" s="407"/>
    </row>
    <row r="94" spans="2:20">
      <c r="B94" s="2"/>
      <c r="C94" s="2"/>
      <c r="D94" s="2" t="s">
        <v>134</v>
      </c>
      <c r="E94" s="2"/>
      <c r="F94" s="4"/>
      <c r="G94" s="105"/>
      <c r="H94" s="4"/>
      <c r="I94" s="106" t="e">
        <f>+I60+I92</f>
        <v>#REF!</v>
      </c>
      <c r="J94" s="45" t="s">
        <v>135</v>
      </c>
      <c r="P94" s="551"/>
      <c r="Q94" s="551"/>
      <c r="R94" s="551"/>
      <c r="S94" s="407"/>
      <c r="T94" s="407"/>
    </row>
    <row r="95" spans="2:20">
      <c r="B95" s="1"/>
      <c r="C95" s="1"/>
      <c r="D95" s="1"/>
      <c r="E95" s="6"/>
      <c r="F95" s="5"/>
      <c r="G95" s="109"/>
      <c r="H95" s="5"/>
      <c r="I95" s="404">
        <f>+I61+I93</f>
        <v>0</v>
      </c>
      <c r="J95" s="116"/>
      <c r="P95" s="551"/>
      <c r="Q95" s="551"/>
      <c r="R95" s="551"/>
      <c r="S95" s="407"/>
      <c r="T95" s="407"/>
    </row>
    <row r="96" spans="2:20">
      <c r="B96" s="2"/>
      <c r="C96" s="2"/>
      <c r="D96" s="2" t="s">
        <v>136</v>
      </c>
      <c r="E96" s="2"/>
      <c r="F96" s="4"/>
      <c r="G96" s="105"/>
      <c r="H96" s="4"/>
      <c r="I96" s="4"/>
      <c r="J96" s="45"/>
      <c r="P96" s="551"/>
      <c r="Q96" s="551"/>
      <c r="R96" s="551"/>
      <c r="S96" s="407"/>
      <c r="T96" s="407"/>
    </row>
    <row r="97" spans="2:20">
      <c r="B97" s="1"/>
      <c r="C97" s="1"/>
      <c r="D97" s="1"/>
      <c r="E97" s="6"/>
      <c r="F97" s="5"/>
      <c r="G97" s="109"/>
      <c r="H97" s="5"/>
      <c r="I97" s="5"/>
      <c r="J97" s="9"/>
      <c r="P97" s="551"/>
      <c r="Q97" s="551"/>
      <c r="R97" s="551"/>
      <c r="S97" s="407"/>
      <c r="T97" s="407"/>
    </row>
    <row r="98" spans="2:20">
      <c r="B98" s="2"/>
      <c r="C98" s="2"/>
      <c r="D98" s="2"/>
      <c r="E98" s="2" t="s">
        <v>136</v>
      </c>
      <c r="F98" s="114" t="e">
        <f>+K204</f>
        <v>#REF!</v>
      </c>
      <c r="G98" s="105" t="s">
        <v>978</v>
      </c>
      <c r="H98" s="4" t="e">
        <f>+D201</f>
        <v>#REF!</v>
      </c>
      <c r="I98" s="106" t="e">
        <f>+IF(H98&gt;0,INT(H98*F98%/1000)*1000,0)</f>
        <v>#REF!</v>
      </c>
      <c r="J98" s="45" t="s">
        <v>124</v>
      </c>
      <c r="P98" s="551"/>
      <c r="Q98" s="551"/>
      <c r="R98" s="551"/>
      <c r="S98" s="407"/>
      <c r="T98" s="407"/>
    </row>
    <row r="99" spans="2:20">
      <c r="B99" s="1"/>
      <c r="C99" s="1"/>
      <c r="D99" s="1"/>
      <c r="E99" s="6"/>
      <c r="F99" s="115">
        <f>+K205</f>
        <v>0</v>
      </c>
      <c r="G99" s="109"/>
      <c r="H99" s="5">
        <f>+D202</f>
        <v>0</v>
      </c>
      <c r="I99" s="404">
        <f>+IF(H99&gt;0,INT(H99*F99%/1000)*1000,0)</f>
        <v>0</v>
      </c>
      <c r="J99" s="9"/>
      <c r="P99" s="551" t="s">
        <v>11</v>
      </c>
      <c r="Q99" s="551"/>
      <c r="R99" s="551"/>
      <c r="S99" s="407">
        <f>+SUM(S88:S98)</f>
        <v>0</v>
      </c>
      <c r="T99" s="407">
        <f>+SUM(T88:T98)</f>
        <v>0</v>
      </c>
    </row>
    <row r="100" spans="2:20">
      <c r="B100" s="2"/>
      <c r="C100" s="2"/>
      <c r="D100" s="2"/>
      <c r="E100" s="2" t="s">
        <v>118</v>
      </c>
      <c r="F100" s="4"/>
      <c r="G100" s="105"/>
      <c r="H100" s="4"/>
      <c r="I100" s="4" t="e">
        <f>+I98</f>
        <v>#REF!</v>
      </c>
      <c r="J100" s="45" t="s">
        <v>137</v>
      </c>
    </row>
    <row r="101" spans="2:20">
      <c r="B101" s="1"/>
      <c r="C101" s="1"/>
      <c r="D101" s="1"/>
      <c r="E101" s="6"/>
      <c r="F101" s="5"/>
      <c r="G101" s="109"/>
      <c r="H101" s="5"/>
      <c r="I101" s="382">
        <f>+I99</f>
        <v>0</v>
      </c>
      <c r="J101" s="9"/>
    </row>
    <row r="102" spans="2:20">
      <c r="B102" s="2"/>
      <c r="C102" s="2"/>
      <c r="D102" s="2" t="s">
        <v>138</v>
      </c>
      <c r="E102" s="2"/>
      <c r="F102" s="4"/>
      <c r="G102" s="105"/>
      <c r="H102" s="4"/>
      <c r="I102" s="106" t="e">
        <f>+I34+I94+I100</f>
        <v>#REF!</v>
      </c>
      <c r="J102" s="45" t="s">
        <v>139</v>
      </c>
    </row>
    <row r="103" spans="2:20">
      <c r="B103" s="1"/>
      <c r="C103" s="1"/>
      <c r="D103" s="1"/>
      <c r="E103" s="6"/>
      <c r="F103" s="5"/>
      <c r="G103" s="109"/>
      <c r="H103" s="5"/>
      <c r="I103" s="404">
        <f>+I35+I95+I101</f>
        <v>0</v>
      </c>
      <c r="J103" s="9"/>
    </row>
    <row r="104" spans="2:20">
      <c r="B104" s="2"/>
      <c r="C104" s="2"/>
      <c r="D104" s="2" t="s">
        <v>140</v>
      </c>
      <c r="E104" s="2"/>
      <c r="F104" s="4"/>
      <c r="G104" s="105"/>
      <c r="H104" s="4"/>
      <c r="I104" s="4"/>
      <c r="J104" s="8"/>
    </row>
    <row r="105" spans="2:20">
      <c r="B105" s="1"/>
      <c r="C105" s="1"/>
      <c r="D105" s="1"/>
      <c r="E105" s="6"/>
      <c r="F105" s="5"/>
      <c r="G105" s="109"/>
      <c r="H105" s="5"/>
      <c r="I105" s="5"/>
      <c r="J105" s="9"/>
    </row>
    <row r="106" spans="2:20">
      <c r="B106" s="2"/>
      <c r="C106" s="2"/>
      <c r="D106" s="2"/>
      <c r="E106" s="2" t="s">
        <v>141</v>
      </c>
      <c r="F106" s="114" t="e">
        <f>+L250</f>
        <v>#REF!</v>
      </c>
      <c r="G106" s="105" t="s">
        <v>978</v>
      </c>
      <c r="H106" s="4" t="e">
        <f>+I102</f>
        <v>#REF!</v>
      </c>
      <c r="I106" s="4" t="e">
        <f>+L106-L112</f>
        <v>#REF!</v>
      </c>
      <c r="J106" s="7" t="e">
        <f>+"（"&amp;FIXED(L106,0)&amp;"）"</f>
        <v>#REF!</v>
      </c>
      <c r="L106" s="117" t="e">
        <f>+ROUND(H106*F106%,0)</f>
        <v>#REF!</v>
      </c>
    </row>
    <row r="107" spans="2:20">
      <c r="B107" s="1"/>
      <c r="C107" s="1"/>
      <c r="D107" s="1"/>
      <c r="E107" s="6"/>
      <c r="F107" s="115">
        <f>+L251</f>
        <v>0</v>
      </c>
      <c r="G107" s="109"/>
      <c r="H107" s="5">
        <f>+I103</f>
        <v>0</v>
      </c>
      <c r="I107" s="382">
        <f>+L107-L113</f>
        <v>0</v>
      </c>
      <c r="J107" s="118" t="str">
        <f>+IF(H107&gt;0,"（"&amp;FIXED(L107,0)&amp;"）","")</f>
        <v/>
      </c>
      <c r="L107" s="117">
        <f>+ROUND(H107*F107%,0)</f>
        <v>0</v>
      </c>
    </row>
    <row r="108" spans="2:20">
      <c r="B108" s="2"/>
      <c r="C108" s="2"/>
      <c r="D108" s="2"/>
      <c r="E108" s="2" t="s">
        <v>142</v>
      </c>
      <c r="F108" s="114" t="e">
        <f>+IF(H108&gt;0,0.04,0)</f>
        <v>#REF!</v>
      </c>
      <c r="G108" s="105" t="s">
        <v>978</v>
      </c>
      <c r="H108" s="4" t="e">
        <f>+I102</f>
        <v>#REF!</v>
      </c>
      <c r="I108" s="4" t="e">
        <f>+INT(H108*F108%)</f>
        <v>#REF!</v>
      </c>
      <c r="J108" s="8" t="s">
        <v>143</v>
      </c>
    </row>
    <row r="109" spans="2:20">
      <c r="B109" s="1"/>
      <c r="C109" s="1"/>
      <c r="D109" s="1"/>
      <c r="E109" s="6"/>
      <c r="F109" s="115">
        <f>+IF(H109&gt;0,0.04,0)</f>
        <v>0</v>
      </c>
      <c r="G109" s="109"/>
      <c r="H109" s="5">
        <f>+I103</f>
        <v>0</v>
      </c>
      <c r="I109" s="382">
        <f>+IF(H109&gt;0,I108,0)</f>
        <v>0</v>
      </c>
      <c r="J109" s="9"/>
    </row>
    <row r="110" spans="2:20">
      <c r="B110" s="2"/>
      <c r="C110" s="2"/>
      <c r="D110" s="2"/>
      <c r="E110" s="2" t="s">
        <v>11</v>
      </c>
      <c r="F110" s="4">
        <v>1</v>
      </c>
      <c r="G110" s="105" t="s">
        <v>117</v>
      </c>
      <c r="H110" s="4"/>
      <c r="I110" s="4" t="e">
        <f>+I106+I108</f>
        <v>#REF!</v>
      </c>
      <c r="J110" s="8" t="s">
        <v>144</v>
      </c>
      <c r="L110" s="117" t="e">
        <f>+I102+L106+I108</f>
        <v>#REF!</v>
      </c>
    </row>
    <row r="111" spans="2:20">
      <c r="B111" s="1"/>
      <c r="C111" s="1"/>
      <c r="D111" s="1"/>
      <c r="E111" s="6"/>
      <c r="F111" s="5"/>
      <c r="G111" s="109"/>
      <c r="H111" s="5"/>
      <c r="I111" s="382">
        <f>+I107+I109</f>
        <v>0</v>
      </c>
      <c r="J111" s="9"/>
      <c r="L111" s="117">
        <f>+I103+L107+I109</f>
        <v>0</v>
      </c>
    </row>
    <row r="112" spans="2:20">
      <c r="B112" s="2"/>
      <c r="C112" s="2" t="s">
        <v>145</v>
      </c>
      <c r="D112" s="2"/>
      <c r="E112" s="2"/>
      <c r="F112" s="4"/>
      <c r="G112" s="105"/>
      <c r="H112" s="4"/>
      <c r="I112" s="106" t="e">
        <f>+INT(L110/1000)*1000</f>
        <v>#REF!</v>
      </c>
      <c r="J112" s="45" t="s">
        <v>146</v>
      </c>
      <c r="L112" s="117" t="e">
        <f>+L110-I112</f>
        <v>#REF!</v>
      </c>
    </row>
    <row r="113" spans="2:12">
      <c r="B113" s="1"/>
      <c r="C113" s="1"/>
      <c r="D113" s="1"/>
      <c r="E113" s="6"/>
      <c r="F113" s="5"/>
      <c r="G113" s="109"/>
      <c r="H113" s="5"/>
      <c r="I113" s="404">
        <f>+INT(L111/1000)*1000</f>
        <v>0</v>
      </c>
      <c r="J113" s="9"/>
      <c r="L113" s="117">
        <f>+L111-I113</f>
        <v>0</v>
      </c>
    </row>
    <row r="114" spans="2:12">
      <c r="B114" s="2"/>
      <c r="C114" s="2"/>
      <c r="D114" s="2"/>
      <c r="E114" s="2"/>
      <c r="F114" s="4"/>
      <c r="G114" s="105"/>
      <c r="H114" s="4"/>
      <c r="I114" s="4"/>
      <c r="J114" s="45"/>
      <c r="L114" s="117"/>
    </row>
    <row r="115" spans="2:12">
      <c r="B115" s="1"/>
      <c r="C115" s="1"/>
      <c r="D115" s="1"/>
      <c r="E115" s="6"/>
      <c r="F115" s="5"/>
      <c r="G115" s="109"/>
      <c r="H115" s="5"/>
      <c r="I115" s="5"/>
      <c r="J115" s="9"/>
      <c r="L115" s="117"/>
    </row>
    <row r="116" spans="2:12">
      <c r="B116" s="2"/>
      <c r="C116" s="2"/>
      <c r="D116" s="2"/>
      <c r="E116" s="2"/>
      <c r="F116" s="4"/>
      <c r="G116" s="105"/>
      <c r="H116" s="4"/>
      <c r="I116" s="4"/>
      <c r="J116" s="45"/>
      <c r="L116" s="117"/>
    </row>
    <row r="117" spans="2:12">
      <c r="B117" s="1"/>
      <c r="C117" s="1"/>
      <c r="D117" s="1"/>
      <c r="E117" s="6"/>
      <c r="F117" s="5"/>
      <c r="G117" s="109"/>
      <c r="H117" s="5"/>
      <c r="I117" s="5"/>
      <c r="J117" s="9"/>
      <c r="L117" s="117"/>
    </row>
    <row r="118" spans="2:12">
      <c r="B118" s="2"/>
      <c r="C118" s="2"/>
      <c r="D118" s="2"/>
      <c r="E118" s="2"/>
      <c r="F118" s="4"/>
      <c r="G118" s="105"/>
      <c r="H118" s="4"/>
      <c r="I118" s="4"/>
      <c r="J118" s="45"/>
      <c r="L118" s="117"/>
    </row>
    <row r="119" spans="2:12">
      <c r="B119" s="1"/>
      <c r="C119" s="1"/>
      <c r="D119" s="1"/>
      <c r="E119" s="6"/>
      <c r="F119" s="5"/>
      <c r="G119" s="109"/>
      <c r="H119" s="5"/>
      <c r="I119" s="5"/>
      <c r="J119" s="9"/>
      <c r="L119" s="117"/>
    </row>
    <row r="120" spans="2:12">
      <c r="B120" s="2"/>
      <c r="C120" s="2"/>
      <c r="D120" s="2"/>
      <c r="E120" s="2"/>
      <c r="F120" s="4"/>
      <c r="G120" s="105"/>
      <c r="H120" s="4"/>
      <c r="I120" s="4"/>
      <c r="J120" s="45"/>
      <c r="L120" s="117"/>
    </row>
    <row r="121" spans="2:12">
      <c r="B121" s="1"/>
      <c r="C121" s="1"/>
      <c r="D121" s="1"/>
      <c r="E121" s="6"/>
      <c r="F121" s="5"/>
      <c r="G121" s="109"/>
      <c r="H121" s="5"/>
      <c r="I121" s="5"/>
      <c r="J121" s="9"/>
      <c r="L121" s="117"/>
    </row>
    <row r="122" spans="2:12">
      <c r="B122" s="2"/>
      <c r="C122" s="2"/>
      <c r="D122" s="2"/>
      <c r="E122" s="2"/>
      <c r="F122" s="4"/>
      <c r="G122" s="105"/>
      <c r="H122" s="4"/>
      <c r="I122" s="4"/>
      <c r="J122" s="45"/>
      <c r="L122" s="117"/>
    </row>
    <row r="123" spans="2:12">
      <c r="B123" s="1"/>
      <c r="C123" s="1"/>
      <c r="D123" s="1"/>
      <c r="E123" s="6"/>
      <c r="F123" s="5"/>
      <c r="G123" s="109"/>
      <c r="H123" s="5"/>
      <c r="I123" s="5"/>
      <c r="J123" s="9"/>
      <c r="L123" s="117"/>
    </row>
    <row r="124" spans="2:12">
      <c r="B124" s="2"/>
      <c r="C124" s="2"/>
      <c r="D124" s="2"/>
      <c r="E124" s="2"/>
      <c r="F124" s="4"/>
      <c r="G124" s="105"/>
      <c r="H124" s="4"/>
      <c r="I124" s="4"/>
      <c r="J124" s="45"/>
      <c r="L124" s="117"/>
    </row>
    <row r="125" spans="2:12">
      <c r="B125" s="1"/>
      <c r="C125" s="1"/>
      <c r="D125" s="1"/>
      <c r="E125" s="6"/>
      <c r="F125" s="5"/>
      <c r="G125" s="109"/>
      <c r="H125" s="5"/>
      <c r="I125" s="5"/>
      <c r="J125" s="9"/>
      <c r="L125" s="117"/>
    </row>
    <row r="126" spans="2:12">
      <c r="B126" s="2"/>
      <c r="C126" s="2"/>
      <c r="D126" s="2"/>
      <c r="E126" s="2"/>
      <c r="F126" s="4"/>
      <c r="G126" s="105"/>
      <c r="H126" s="4"/>
      <c r="I126" s="4"/>
      <c r="J126" s="45"/>
      <c r="L126" s="117"/>
    </row>
    <row r="127" spans="2:12">
      <c r="B127" s="1"/>
      <c r="C127" s="1"/>
      <c r="D127" s="1"/>
      <c r="E127" s="6"/>
      <c r="F127" s="5"/>
      <c r="G127" s="109"/>
      <c r="H127" s="5"/>
      <c r="I127" s="5"/>
      <c r="J127" s="9"/>
      <c r="L127" s="117"/>
    </row>
    <row r="128" spans="2:12">
      <c r="B128" s="2"/>
      <c r="C128" s="2"/>
      <c r="D128" s="2"/>
      <c r="E128" s="2"/>
      <c r="F128" s="4"/>
      <c r="G128" s="105"/>
      <c r="H128" s="4"/>
      <c r="I128" s="4"/>
      <c r="J128" s="45"/>
      <c r="L128" s="117"/>
    </row>
    <row r="129" spans="2:12">
      <c r="B129" s="1"/>
      <c r="C129" s="1"/>
      <c r="D129" s="1"/>
      <c r="E129" s="6"/>
      <c r="F129" s="5"/>
      <c r="G129" s="109"/>
      <c r="H129" s="5"/>
      <c r="I129" s="5"/>
      <c r="J129" s="9"/>
      <c r="L129" s="117"/>
    </row>
    <row r="130" spans="2:12">
      <c r="B130" s="2"/>
      <c r="C130" s="2"/>
      <c r="D130" s="2"/>
      <c r="E130" s="2"/>
      <c r="F130" s="4"/>
      <c r="G130" s="105"/>
      <c r="H130" s="4"/>
      <c r="I130" s="4"/>
      <c r="J130" s="45"/>
      <c r="L130" s="117"/>
    </row>
    <row r="131" spans="2:12">
      <c r="B131" s="1"/>
      <c r="C131" s="1"/>
      <c r="D131" s="1"/>
      <c r="E131" s="6"/>
      <c r="F131" s="5"/>
      <c r="G131" s="109"/>
      <c r="H131" s="5"/>
      <c r="I131" s="5"/>
      <c r="J131" s="9"/>
      <c r="L131" s="117"/>
    </row>
    <row r="132" spans="2:12">
      <c r="B132" s="2"/>
      <c r="C132" s="2"/>
      <c r="D132" s="2"/>
      <c r="E132" s="2"/>
      <c r="F132" s="4"/>
      <c r="G132" s="105"/>
      <c r="H132" s="4"/>
      <c r="I132" s="4"/>
      <c r="J132" s="45"/>
      <c r="L132" s="117"/>
    </row>
    <row r="133" spans="2:12">
      <c r="B133" s="1"/>
      <c r="C133" s="1"/>
      <c r="D133" s="1"/>
      <c r="E133" s="6"/>
      <c r="F133" s="5"/>
      <c r="G133" s="109"/>
      <c r="H133" s="5"/>
      <c r="I133" s="5"/>
      <c r="J133" s="9"/>
      <c r="L133" s="117"/>
    </row>
    <row r="134" spans="2:12">
      <c r="B134" s="2"/>
      <c r="C134" s="2"/>
      <c r="D134" s="2"/>
      <c r="E134" s="2"/>
      <c r="F134" s="4"/>
      <c r="G134" s="105"/>
      <c r="H134" s="4"/>
      <c r="I134" s="4"/>
      <c r="J134" s="45"/>
      <c r="L134" s="117"/>
    </row>
    <row r="135" spans="2:12">
      <c r="B135" s="1"/>
      <c r="C135" s="1"/>
      <c r="D135" s="1"/>
      <c r="E135" s="6"/>
      <c r="F135" s="5"/>
      <c r="G135" s="109"/>
      <c r="H135" s="5"/>
      <c r="I135" s="5"/>
      <c r="J135" s="9"/>
      <c r="L135" s="117"/>
    </row>
    <row r="136" spans="2:12">
      <c r="B136" s="2"/>
      <c r="C136" s="2"/>
      <c r="D136" s="2"/>
      <c r="E136" s="2"/>
      <c r="F136" s="4"/>
      <c r="G136" s="105"/>
      <c r="H136" s="4"/>
      <c r="I136" s="4"/>
      <c r="J136" s="45"/>
      <c r="L136" s="117"/>
    </row>
    <row r="137" spans="2:12">
      <c r="B137" s="1"/>
      <c r="C137" s="1"/>
      <c r="D137" s="1"/>
      <c r="E137" s="6"/>
      <c r="F137" s="5"/>
      <c r="G137" s="109"/>
      <c r="H137" s="5"/>
      <c r="I137" s="5"/>
      <c r="J137" s="9"/>
      <c r="L137" s="117"/>
    </row>
    <row r="138" spans="2:12">
      <c r="B138" s="2"/>
      <c r="C138" s="2"/>
      <c r="D138" s="2"/>
      <c r="E138" s="2"/>
      <c r="F138" s="4"/>
      <c r="G138" s="105"/>
      <c r="H138" s="4"/>
      <c r="I138" s="4"/>
      <c r="J138" s="45"/>
      <c r="L138" s="117"/>
    </row>
    <row r="139" spans="2:12">
      <c r="B139" s="1"/>
      <c r="C139" s="1"/>
      <c r="D139" s="1"/>
      <c r="E139" s="6"/>
      <c r="F139" s="5"/>
      <c r="G139" s="109"/>
      <c r="H139" s="5"/>
      <c r="I139" s="5"/>
      <c r="J139" s="9"/>
      <c r="L139" s="117"/>
    </row>
    <row r="140" spans="2:12">
      <c r="B140" s="2"/>
      <c r="C140" s="2"/>
      <c r="D140" s="2"/>
      <c r="E140" s="2"/>
      <c r="F140" s="4"/>
      <c r="G140" s="105"/>
      <c r="H140" s="4"/>
      <c r="I140" s="4"/>
      <c r="J140" s="45"/>
      <c r="L140" s="117"/>
    </row>
    <row r="141" spans="2:12">
      <c r="B141" s="1"/>
      <c r="C141" s="1"/>
      <c r="D141" s="1"/>
      <c r="E141" s="6"/>
      <c r="F141" s="5"/>
      <c r="G141" s="109"/>
      <c r="H141" s="5"/>
      <c r="I141" s="5"/>
      <c r="J141" s="9"/>
      <c r="L141" s="117"/>
    </row>
    <row r="142" spans="2:12">
      <c r="B142" s="2"/>
      <c r="C142" s="2"/>
      <c r="D142" s="2"/>
      <c r="E142" s="2"/>
      <c r="F142" s="4"/>
      <c r="G142" s="105"/>
      <c r="H142" s="4"/>
      <c r="I142" s="4"/>
      <c r="J142" s="45"/>
      <c r="L142" s="117"/>
    </row>
    <row r="143" spans="2:12">
      <c r="B143" s="1"/>
      <c r="C143" s="1"/>
      <c r="D143" s="1"/>
      <c r="E143" s="6"/>
      <c r="F143" s="5"/>
      <c r="G143" s="109"/>
      <c r="H143" s="5"/>
      <c r="I143" s="5"/>
      <c r="J143" s="9"/>
      <c r="L143" s="117"/>
    </row>
    <row r="144" spans="2:12">
      <c r="B144" s="2"/>
      <c r="C144" s="2"/>
      <c r="D144" s="2"/>
      <c r="E144" s="2"/>
      <c r="F144" s="4"/>
      <c r="G144" s="105"/>
      <c r="H144" s="4"/>
      <c r="I144" s="4"/>
      <c r="J144" s="45"/>
      <c r="L144" s="117"/>
    </row>
    <row r="145" spans="2:12">
      <c r="B145" s="1"/>
      <c r="C145" s="1"/>
      <c r="D145" s="1"/>
      <c r="E145" s="6"/>
      <c r="F145" s="5"/>
      <c r="G145" s="109"/>
      <c r="H145" s="5"/>
      <c r="I145" s="5"/>
      <c r="J145" s="9"/>
      <c r="L145" s="117"/>
    </row>
    <row r="146" spans="2:12">
      <c r="B146" s="2"/>
      <c r="C146" s="2"/>
      <c r="D146" s="2"/>
      <c r="E146" s="2"/>
      <c r="F146" s="4"/>
      <c r="G146" s="105"/>
      <c r="H146" s="4"/>
      <c r="I146" s="4"/>
      <c r="J146" s="45"/>
    </row>
    <row r="147" spans="2:12">
      <c r="B147" s="1"/>
      <c r="C147" s="1"/>
      <c r="D147" s="1"/>
      <c r="E147" s="6"/>
      <c r="F147" s="5"/>
      <c r="G147" s="109"/>
      <c r="H147" s="5"/>
      <c r="I147" s="5"/>
      <c r="J147" s="9"/>
    </row>
    <row r="148" spans="2:12">
      <c r="B148" s="2"/>
      <c r="C148" s="2"/>
      <c r="D148" s="2"/>
      <c r="E148" s="2"/>
      <c r="F148" s="4"/>
      <c r="G148" s="105"/>
      <c r="H148" s="4"/>
      <c r="I148" s="4"/>
      <c r="J148" s="45"/>
    </row>
    <row r="149" spans="2:12">
      <c r="B149" s="1"/>
      <c r="C149" s="1"/>
      <c r="D149" s="1"/>
      <c r="E149" s="6"/>
      <c r="F149" s="5"/>
      <c r="G149" s="109"/>
      <c r="H149" s="5"/>
      <c r="I149" s="5"/>
      <c r="J149" s="9"/>
    </row>
    <row r="150" spans="2:12">
      <c r="B150" s="2"/>
      <c r="C150" s="2"/>
      <c r="D150" s="2"/>
      <c r="E150" s="2"/>
      <c r="F150" s="4"/>
      <c r="G150" s="105"/>
      <c r="H150" s="4"/>
      <c r="I150" s="4"/>
      <c r="J150" s="45"/>
    </row>
    <row r="151" spans="2:12">
      <c r="B151" s="1"/>
      <c r="C151" s="1"/>
      <c r="D151" s="1"/>
      <c r="E151" s="6"/>
      <c r="F151" s="5"/>
      <c r="G151" s="109"/>
      <c r="H151" s="5"/>
      <c r="I151" s="5"/>
      <c r="J151" s="9"/>
    </row>
    <row r="152" spans="2:12">
      <c r="B152" s="2"/>
      <c r="C152" s="2"/>
      <c r="D152" s="2"/>
      <c r="E152" s="2"/>
      <c r="F152" s="4"/>
      <c r="G152" s="105"/>
      <c r="H152" s="4"/>
      <c r="I152" s="4"/>
      <c r="J152" s="45"/>
    </row>
    <row r="153" spans="2:12">
      <c r="B153" s="1"/>
      <c r="C153" s="1"/>
      <c r="D153" s="1"/>
      <c r="E153" s="6"/>
      <c r="F153" s="5"/>
      <c r="G153" s="109"/>
      <c r="H153" s="5"/>
      <c r="I153" s="5"/>
      <c r="J153" s="9"/>
    </row>
    <row r="154" spans="2:12">
      <c r="B154" s="2"/>
      <c r="C154" s="2"/>
      <c r="D154" s="2"/>
      <c r="E154" s="2"/>
      <c r="F154" s="4"/>
      <c r="G154" s="105"/>
      <c r="H154" s="4"/>
      <c r="I154" s="4"/>
      <c r="J154" s="45"/>
    </row>
    <row r="155" spans="2:12">
      <c r="B155" s="1"/>
      <c r="C155" s="1"/>
      <c r="D155" s="1"/>
      <c r="E155" s="6"/>
      <c r="F155" s="5"/>
      <c r="G155" s="109"/>
      <c r="H155" s="5"/>
      <c r="I155" s="5"/>
      <c r="J155" s="9"/>
    </row>
    <row r="156" spans="2:12">
      <c r="B156" s="16"/>
      <c r="C156" s="17"/>
      <c r="D156" s="17"/>
      <c r="E156" s="17"/>
      <c r="F156" s="17"/>
      <c r="G156" s="17"/>
      <c r="H156" s="17"/>
      <c r="I156" s="17"/>
      <c r="J156" s="18"/>
    </row>
    <row r="157" spans="2:12">
      <c r="B157" s="119" t="s">
        <v>147</v>
      </c>
      <c r="J157" s="120" t="s">
        <v>926</v>
      </c>
    </row>
    <row r="158" spans="2:12">
      <c r="B158" s="119"/>
      <c r="J158" s="121"/>
    </row>
    <row r="159" spans="2:12">
      <c r="B159" s="119" t="s">
        <v>148</v>
      </c>
      <c r="J159" s="121"/>
    </row>
    <row r="160" spans="2:12">
      <c r="B160" s="119"/>
      <c r="C160" t="s">
        <v>979</v>
      </c>
      <c r="J160" s="121"/>
    </row>
    <row r="161" spans="2:15">
      <c r="B161" s="119"/>
      <c r="C161" t="s">
        <v>150</v>
      </c>
      <c r="J161" s="121"/>
    </row>
    <row r="162" spans="2:15">
      <c r="B162" s="119"/>
      <c r="C162" t="s">
        <v>151</v>
      </c>
      <c r="J162" s="121"/>
    </row>
    <row r="163" spans="2:15">
      <c r="B163" s="119"/>
      <c r="C163" t="s">
        <v>152</v>
      </c>
      <c r="J163" s="121"/>
    </row>
    <row r="164" spans="2:15">
      <c r="B164" s="119"/>
      <c r="D164" t="s">
        <v>153</v>
      </c>
      <c r="F164">
        <v>68.760000000000005</v>
      </c>
      <c r="G164" t="s">
        <v>980</v>
      </c>
      <c r="J164" s="121"/>
    </row>
    <row r="165" spans="2:15">
      <c r="B165" s="119"/>
      <c r="D165" t="s">
        <v>155</v>
      </c>
      <c r="F165">
        <v>12.86</v>
      </c>
      <c r="G165" t="s">
        <v>980</v>
      </c>
      <c r="J165" s="121"/>
    </row>
    <row r="166" spans="2:15">
      <c r="B166" s="119"/>
      <c r="J166" s="121"/>
    </row>
    <row r="167" spans="2:15">
      <c r="B167" s="119"/>
      <c r="C167" s="82" t="s">
        <v>981</v>
      </c>
      <c r="D167" s="36" t="e">
        <f>+I60</f>
        <v>#REF!</v>
      </c>
      <c r="E167" t="s">
        <v>157</v>
      </c>
      <c r="J167" s="121"/>
    </row>
    <row r="168" spans="2:15">
      <c r="B168" s="119"/>
      <c r="D168" s="36">
        <f>+I61</f>
        <v>0</v>
      </c>
      <c r="J168" s="121"/>
    </row>
    <row r="169" spans="2:15">
      <c r="B169" s="119"/>
      <c r="J169" s="121"/>
      <c r="L169" s="50" t="s">
        <v>982</v>
      </c>
      <c r="M169" s="50" t="s">
        <v>983</v>
      </c>
      <c r="N169" s="50" t="s">
        <v>984</v>
      </c>
    </row>
    <row r="170" spans="2:15">
      <c r="B170" s="119"/>
      <c r="C170" s="82" t="s">
        <v>985</v>
      </c>
      <c r="D170" t="e">
        <f>+IF(O170=1,FIXED(K170,2)&amp;" %",IF(O170=2,"2,858.52×"&amp;FIXED(D167,0)&amp;" ^-0.2698　＝　"&amp;FIXED(K170,2)&amp;" %",IF(O170=3,FIXED(K170,2),0)))</f>
        <v>#REF!</v>
      </c>
      <c r="J170" s="121"/>
      <c r="K170" t="e">
        <f>+SUM(L170:N170)</f>
        <v>#REF!</v>
      </c>
      <c r="L170" t="e">
        <f>+IF(D167&lt;=1000000,F164,0)</f>
        <v>#REF!</v>
      </c>
      <c r="M170" t="e">
        <f>+IF(AND(D167&gt;=1000000,D167&lt;500000000),ROUND(2858.52*D167^-0.2698,2),0)</f>
        <v>#REF!</v>
      </c>
      <c r="N170" t="e">
        <f>+IF(D167&gt;500000000,F165,0)</f>
        <v>#REF!</v>
      </c>
      <c r="O170" t="e">
        <f>+IF(L170&gt;0,1,IF(M170&gt;0,2,IF(N170&gt;0,3,0)))</f>
        <v>#REF!</v>
      </c>
    </row>
    <row r="171" spans="2:15">
      <c r="B171" s="119"/>
      <c r="D171">
        <f>+IF(O171=1,FIXED(K171,2)&amp;" %",IF(O171=2,"2,858.52×"&amp;FIXED(D168,0)&amp;" ^-0.2698　＝　"&amp;FIXED(K171,2)&amp;" %",IF(O171=3,FIXED(K171,2),0)))</f>
        <v>0</v>
      </c>
      <c r="J171" s="121"/>
      <c r="K171">
        <f>+SUM(L171:N171)</f>
        <v>0</v>
      </c>
      <c r="L171">
        <f>+IF(D168&gt;0,IF(D168&lt;=1000000,F164,0),0)</f>
        <v>0</v>
      </c>
      <c r="M171">
        <f>+IF(AND(D168&gt;=1000000,D168&lt;500000000),ROUND(2858.52*D168^-0.2698,2),0)</f>
        <v>0</v>
      </c>
      <c r="N171">
        <f>+IF(D168&gt;0,IF(D168&gt;500000000,F165,0),0)</f>
        <v>0</v>
      </c>
      <c r="O171">
        <f>+IF(L171&gt;0,1,IF(M171&gt;0,2,IF(N171&gt;0,3,0)))</f>
        <v>0</v>
      </c>
    </row>
    <row r="172" spans="2:15">
      <c r="B172" s="119"/>
      <c r="J172" s="121"/>
    </row>
    <row r="173" spans="2:15">
      <c r="B173" s="119"/>
      <c r="J173" s="121"/>
    </row>
    <row r="174" spans="2:15">
      <c r="B174" s="119" t="s">
        <v>162</v>
      </c>
      <c r="J174" s="120" t="s">
        <v>927</v>
      </c>
    </row>
    <row r="175" spans="2:15">
      <c r="B175" s="119"/>
      <c r="J175" s="121"/>
    </row>
    <row r="176" spans="2:15">
      <c r="B176" s="119" t="s">
        <v>163</v>
      </c>
      <c r="J176" s="121"/>
    </row>
    <row r="177" spans="2:15">
      <c r="B177" s="119"/>
      <c r="C177" t="s">
        <v>928</v>
      </c>
      <c r="J177" s="121"/>
    </row>
    <row r="178" spans="2:15">
      <c r="B178" s="119"/>
      <c r="C178" t="s">
        <v>164</v>
      </c>
      <c r="J178" s="121"/>
    </row>
    <row r="179" spans="2:15">
      <c r="B179" s="119"/>
      <c r="C179" t="s">
        <v>165</v>
      </c>
      <c r="J179" s="121"/>
    </row>
    <row r="180" spans="2:15">
      <c r="B180" s="119"/>
      <c r="C180" t="s">
        <v>152</v>
      </c>
      <c r="J180" s="121"/>
    </row>
    <row r="181" spans="2:15">
      <c r="B181" s="119"/>
      <c r="D181" t="s">
        <v>153</v>
      </c>
      <c r="F181">
        <v>57.93</v>
      </c>
      <c r="G181" t="s">
        <v>986</v>
      </c>
      <c r="J181" s="121"/>
    </row>
    <row r="182" spans="2:15">
      <c r="B182" s="119"/>
      <c r="D182" t="s">
        <v>155</v>
      </c>
      <c r="F182">
        <v>23.59</v>
      </c>
      <c r="G182" t="s">
        <v>986</v>
      </c>
      <c r="J182" s="121"/>
    </row>
    <row r="183" spans="2:15">
      <c r="B183" s="119"/>
      <c r="J183" s="121"/>
    </row>
    <row r="184" spans="2:15">
      <c r="B184" s="119"/>
      <c r="C184" s="82" t="s">
        <v>987</v>
      </c>
      <c r="D184" s="36" t="e">
        <f>+I60+I82</f>
        <v>#REF!</v>
      </c>
      <c r="E184" t="s">
        <v>157</v>
      </c>
      <c r="J184" s="121"/>
    </row>
    <row r="185" spans="2:15">
      <c r="B185" s="119"/>
      <c r="D185" s="36">
        <f>+I61+I83</f>
        <v>0</v>
      </c>
      <c r="J185" s="121"/>
    </row>
    <row r="186" spans="2:15">
      <c r="B186" s="119"/>
      <c r="J186" s="121"/>
      <c r="L186" s="50" t="s">
        <v>982</v>
      </c>
      <c r="M186" s="50" t="s">
        <v>983</v>
      </c>
      <c r="N186" s="50" t="s">
        <v>984</v>
      </c>
    </row>
    <row r="187" spans="2:15">
      <c r="B187" s="119"/>
      <c r="C187" s="82" t="s">
        <v>985</v>
      </c>
      <c r="D187" t="e">
        <f>+IF(O187=1,FIXED(K187,2)&amp;" %",IF(O187=2,"426.49×"&amp;FIXED(D184,0)&amp;" ^-0.1445　＝　"&amp;FIXED(K187,2)&amp;" %",IF(O187=3,FIXED(K187,2),0)))</f>
        <v>#REF!</v>
      </c>
      <c r="J187" s="121"/>
      <c r="K187" t="e">
        <f>+SUM(L187:N187)</f>
        <v>#REF!</v>
      </c>
      <c r="L187" t="e">
        <f>+IF(D184&lt;=1000000,F181,0)</f>
        <v>#REF!</v>
      </c>
      <c r="M187" t="e">
        <f>+IF(AND(D184&gt;=1000000,D184&lt;500000000),ROUND(426.49*D184^-0.1445,2),0)</f>
        <v>#REF!</v>
      </c>
      <c r="N187" t="e">
        <f>+IF(D184&gt;500000000,F182,0)</f>
        <v>#REF!</v>
      </c>
      <c r="O187" t="e">
        <f>+IF(L187&gt;0,1,IF(M187&gt;0,2,IF(N187&gt;0,3,0)))</f>
        <v>#REF!</v>
      </c>
    </row>
    <row r="188" spans="2:15">
      <c r="B188" s="119"/>
      <c r="D188">
        <f>+IF(O188=1,FIXED(K188,2)&amp;" %",IF(O188=2,"425.39×"&amp;FIXED(D185,0)&amp;" ^-0.1445　＝　"&amp;FIXED(K188,2)&amp;" %",IF(O188=3,FIXED(K188,2),0)))</f>
        <v>0</v>
      </c>
      <c r="J188" s="121"/>
      <c r="K188">
        <f>+SUM(L188:N188)</f>
        <v>0</v>
      </c>
      <c r="L188">
        <f>+IF(D185&gt;0,IF(D185&lt;=1000000,F181,0),0)</f>
        <v>0</v>
      </c>
      <c r="M188">
        <f>+IF(AND(D185&gt;=1000000,D185&lt;500000000),ROUND(425.39*D185^-0.1445,2),0)</f>
        <v>0</v>
      </c>
      <c r="N188">
        <f>+IF(D185&gt;0,IF(D185&gt;500000000,F182,0),0)</f>
        <v>0</v>
      </c>
      <c r="O188">
        <f>+IF(L188&gt;0,1,IF(M188&gt;0,2,IF(N188&gt;0,3,0)))</f>
        <v>0</v>
      </c>
    </row>
    <row r="189" spans="2:15">
      <c r="B189" s="119"/>
      <c r="J189" s="121"/>
    </row>
    <row r="190" spans="2:15">
      <c r="B190" s="119"/>
      <c r="J190" s="121"/>
    </row>
    <row r="191" spans="2:15">
      <c r="B191" s="119" t="s">
        <v>166</v>
      </c>
      <c r="J191" s="120" t="s">
        <v>929</v>
      </c>
    </row>
    <row r="192" spans="2:15">
      <c r="B192" s="119"/>
      <c r="J192" s="121"/>
    </row>
    <row r="193" spans="2:15">
      <c r="B193" s="119" t="s">
        <v>167</v>
      </c>
      <c r="J193" s="121"/>
    </row>
    <row r="194" spans="2:15">
      <c r="B194" s="119"/>
      <c r="C194" t="s">
        <v>988</v>
      </c>
      <c r="J194" s="121"/>
    </row>
    <row r="195" spans="2:15">
      <c r="B195" s="119"/>
      <c r="C195" t="s">
        <v>169</v>
      </c>
      <c r="J195" s="121"/>
    </row>
    <row r="196" spans="2:15">
      <c r="B196" s="119"/>
      <c r="C196" t="s">
        <v>170</v>
      </c>
      <c r="J196" s="121"/>
    </row>
    <row r="197" spans="2:15">
      <c r="B197" s="119"/>
      <c r="C197" t="s">
        <v>152</v>
      </c>
      <c r="J197" s="121"/>
    </row>
    <row r="198" spans="2:15">
      <c r="B198" s="119"/>
      <c r="D198" t="s">
        <v>171</v>
      </c>
      <c r="F198">
        <v>7.11</v>
      </c>
      <c r="G198" t="s">
        <v>986</v>
      </c>
      <c r="J198" s="121"/>
    </row>
    <row r="199" spans="2:15">
      <c r="B199" s="119"/>
      <c r="D199" t="s">
        <v>172</v>
      </c>
      <c r="F199">
        <v>2.33</v>
      </c>
      <c r="G199" t="s">
        <v>986</v>
      </c>
      <c r="J199" s="121"/>
    </row>
    <row r="200" spans="2:15">
      <c r="B200" s="119"/>
      <c r="J200" s="121"/>
    </row>
    <row r="201" spans="2:15">
      <c r="B201" s="119"/>
      <c r="C201" s="82" t="s">
        <v>987</v>
      </c>
      <c r="D201" s="36" t="e">
        <f>+I34+I94</f>
        <v>#REF!</v>
      </c>
      <c r="E201" t="s">
        <v>157</v>
      </c>
      <c r="J201" s="121"/>
    </row>
    <row r="202" spans="2:15">
      <c r="B202" s="119"/>
      <c r="D202" s="36">
        <f>+I35+I95</f>
        <v>0</v>
      </c>
      <c r="J202" s="121"/>
    </row>
    <row r="203" spans="2:15">
      <c r="B203" s="119"/>
      <c r="J203" s="121"/>
      <c r="L203" s="50" t="s">
        <v>989</v>
      </c>
      <c r="M203" s="50" t="s">
        <v>983</v>
      </c>
      <c r="N203" s="50" t="s">
        <v>984</v>
      </c>
    </row>
    <row r="204" spans="2:15">
      <c r="B204" s="119"/>
      <c r="C204" s="82" t="s">
        <v>990</v>
      </c>
      <c r="D204" t="e">
        <f>+IF(O204=1,FIXED(K204,2)&amp;" %",IF(O204=2,"183.41×"&amp;FIXED(D201,0)&amp;" ^-0.2107　＝　"&amp;FIXED(K204,2)&amp;" %",IF(O204=3,FIXED(K204,2),0)))</f>
        <v>#REF!</v>
      </c>
      <c r="J204" s="121"/>
      <c r="K204" t="e">
        <f>+SUM(L204:N204)</f>
        <v>#REF!</v>
      </c>
      <c r="L204" t="e">
        <f>+IF(D201&lt;=5000000,F198,0)</f>
        <v>#REF!</v>
      </c>
      <c r="M204" t="e">
        <f>+IF(AND(D201&gt;=5000000,D201&lt;100000000),ROUND(183.41*D201^-0.2107,2),0)</f>
        <v>#REF!</v>
      </c>
      <c r="N204" t="e">
        <f>+IF(D201&gt;100000000,F199,0)</f>
        <v>#REF!</v>
      </c>
      <c r="O204" t="e">
        <f>+IF(L204&gt;0,1,IF(M204&gt;0,2,IF(N204&gt;0,3,0)))</f>
        <v>#REF!</v>
      </c>
    </row>
    <row r="205" spans="2:15">
      <c r="B205" s="119"/>
      <c r="D205">
        <f>+IF(O205=1,FIXED(K205,2)&amp;" %",IF(O205=2,"183.41×"&amp;FIXED(D202,0)&amp;" ^-0.2107　＝　"&amp;FIXED(K205,2)&amp;" %",IF(O205=3,FIXED(K205,2),0)))</f>
        <v>0</v>
      </c>
      <c r="J205" s="121"/>
      <c r="K205">
        <f>+SUM(L205:N205)</f>
        <v>0</v>
      </c>
      <c r="L205">
        <f>+IF(D202&gt;0,IF(D202&lt;=5000000,F198,0),0)</f>
        <v>0</v>
      </c>
      <c r="M205">
        <f>+IF(AND(D202&gt;=5000000,D202&lt;100000000),ROUND(183.41*D202^-0.2107,2),0)</f>
        <v>0</v>
      </c>
      <c r="N205">
        <f>+IF(D202&gt;0,IF(D202&gt;100000000,F199,0),0)</f>
        <v>0</v>
      </c>
      <c r="O205">
        <f>+IF(L205&gt;0,1,IF(M205&gt;0,2,IF(N205&gt;0,3,0)))</f>
        <v>0</v>
      </c>
    </row>
    <row r="206" spans="2:15">
      <c r="B206" s="119"/>
      <c r="J206" s="121"/>
    </row>
    <row r="207" spans="2:15">
      <c r="B207" s="119"/>
      <c r="J207" s="121"/>
    </row>
    <row r="208" spans="2:15">
      <c r="B208" s="119"/>
      <c r="J208" s="121"/>
    </row>
    <row r="209" spans="2:10">
      <c r="B209" s="119"/>
      <c r="J209" s="121"/>
    </row>
    <row r="210" spans="2:10">
      <c r="B210" s="119"/>
      <c r="J210" s="121"/>
    </row>
    <row r="211" spans="2:10">
      <c r="B211" s="119"/>
      <c r="J211" s="121"/>
    </row>
    <row r="212" spans="2:10">
      <c r="B212" s="119"/>
      <c r="J212" s="121"/>
    </row>
    <row r="213" spans="2:10">
      <c r="B213" s="19"/>
      <c r="C213" s="20"/>
      <c r="D213" s="20"/>
      <c r="E213" s="20"/>
      <c r="F213" s="20"/>
      <c r="G213" s="20"/>
      <c r="H213" s="20"/>
      <c r="I213" s="20"/>
      <c r="J213" s="21"/>
    </row>
    <row r="214" spans="2:10">
      <c r="B214" s="119"/>
      <c r="J214" s="121"/>
    </row>
    <row r="215" spans="2:10">
      <c r="B215" s="119" t="s">
        <v>173</v>
      </c>
      <c r="J215" s="120" t="s">
        <v>929</v>
      </c>
    </row>
    <row r="216" spans="2:10">
      <c r="B216" s="119"/>
      <c r="J216" s="121"/>
    </row>
    <row r="217" spans="2:10">
      <c r="B217" s="119" t="s">
        <v>174</v>
      </c>
      <c r="J217" s="121"/>
    </row>
    <row r="218" spans="2:10">
      <c r="B218" s="119"/>
      <c r="C218" t="s">
        <v>863</v>
      </c>
      <c r="J218" s="121"/>
    </row>
    <row r="219" spans="2:10">
      <c r="B219" s="119"/>
      <c r="C219" t="s">
        <v>175</v>
      </c>
      <c r="J219" s="121"/>
    </row>
    <row r="220" spans="2:10">
      <c r="B220" s="119"/>
      <c r="C220" t="s">
        <v>176</v>
      </c>
      <c r="J220" s="121"/>
    </row>
    <row r="221" spans="2:10">
      <c r="B221" s="119"/>
      <c r="C221" t="s">
        <v>152</v>
      </c>
      <c r="J221" s="121"/>
    </row>
    <row r="222" spans="2:10">
      <c r="B222" s="119"/>
      <c r="D222" t="s">
        <v>171</v>
      </c>
      <c r="F222" s="122">
        <v>26.17</v>
      </c>
      <c r="G222" t="s">
        <v>991</v>
      </c>
      <c r="J222" s="121"/>
    </row>
    <row r="223" spans="2:10">
      <c r="B223" s="119"/>
      <c r="D223" t="s">
        <v>177</v>
      </c>
      <c r="F223" s="122">
        <v>22.18</v>
      </c>
      <c r="G223" t="s">
        <v>986</v>
      </c>
      <c r="J223" s="121"/>
    </row>
    <row r="224" spans="2:10">
      <c r="B224" s="119"/>
      <c r="J224" s="121"/>
    </row>
    <row r="225" spans="2:15">
      <c r="B225" s="119"/>
      <c r="C225" s="82" t="s">
        <v>987</v>
      </c>
      <c r="D225" s="36" t="e">
        <f>+I102</f>
        <v>#REF!</v>
      </c>
      <c r="E225" t="s">
        <v>157</v>
      </c>
      <c r="J225" s="121"/>
    </row>
    <row r="226" spans="2:15">
      <c r="B226" s="119"/>
      <c r="D226" s="36">
        <f>+I103</f>
        <v>0</v>
      </c>
      <c r="J226" s="121"/>
    </row>
    <row r="227" spans="2:15">
      <c r="B227" s="119"/>
      <c r="J227" s="121"/>
      <c r="L227" s="50" t="s">
        <v>989</v>
      </c>
      <c r="M227" s="50" t="s">
        <v>983</v>
      </c>
      <c r="N227" s="50" t="s">
        <v>992</v>
      </c>
    </row>
    <row r="228" spans="2:15">
      <c r="B228" s="119"/>
      <c r="C228" s="82" t="s">
        <v>990</v>
      </c>
      <c r="D228" t="e">
        <f>+IF(O228=1,FIXED(K228,2)&amp;" %",IF(O228=2,"-1.43571×Log("&amp;FIXED(D225,0)&amp;"）+35.789　＝　"&amp;FIXED(K228,2)&amp;" %",IF(O228=3,FIXED(K228,2),0)))</f>
        <v>#REF!</v>
      </c>
      <c r="J228" s="121"/>
      <c r="K228" t="e">
        <f>+SUM(L228:N228)</f>
        <v>#REF!</v>
      </c>
      <c r="L228" t="e">
        <f>+IF(D225&lt;=5000000,F222,0)</f>
        <v>#REF!</v>
      </c>
      <c r="M228" t="e">
        <f>+IF(AND(D225&gt;=5000000,D225&lt;3000000000),ROUND(-1.43571*LOG(D225)+35.789,2),0)</f>
        <v>#REF!</v>
      </c>
      <c r="N228" t="e">
        <f>+IF(D225&gt;3000000000,F223,0)</f>
        <v>#REF!</v>
      </c>
      <c r="O228" t="e">
        <f>+IF(L228&gt;0,1,IF(M228&gt;0,2,IF(N228&gt;0,3,0)))</f>
        <v>#REF!</v>
      </c>
    </row>
    <row r="229" spans="2:15">
      <c r="B229" s="119"/>
      <c r="D229">
        <f>+IF(O229=1,FIXED(K229,2)&amp;" %",IF(O229=2,"-2.9648×Log("&amp;FIXED(D226,0)&amp;"）+46.862　＝　"&amp;FIXED(K229,2)&amp;" %",IF(O229=3,FIXED(K229,2),0)))</f>
        <v>0</v>
      </c>
      <c r="J229" s="121"/>
      <c r="K229">
        <f>+SUM(L229:N229)</f>
        <v>0</v>
      </c>
      <c r="L229">
        <f>+IF(D226&gt;0,IF(D226&lt;=5000000,F222,0),0)</f>
        <v>0</v>
      </c>
      <c r="M229">
        <f>+IF(AND(D226&gt;=5000000,D226&lt;3000000000),ROUND(-2.9648*LOG(D226)+46.862,2),0)</f>
        <v>0</v>
      </c>
      <c r="N229">
        <f>+IF(D226&gt;0,IF(D226&gt;3000000000,F223,0),0)</f>
        <v>0</v>
      </c>
      <c r="O229">
        <f>+IF(L229&gt;0,1,IF(M229&gt;0,2,IF(N229&gt;0,3,0)))</f>
        <v>0</v>
      </c>
    </row>
    <row r="230" spans="2:15">
      <c r="B230" s="119"/>
      <c r="J230" s="121"/>
    </row>
    <row r="231" spans="2:15">
      <c r="B231" s="119" t="s">
        <v>178</v>
      </c>
      <c r="J231" s="121"/>
      <c r="L231" t="s">
        <v>179</v>
      </c>
      <c r="N231" s="122">
        <v>1.05</v>
      </c>
    </row>
    <row r="232" spans="2:15">
      <c r="B232" s="119"/>
      <c r="E232" s="123" t="s">
        <v>180</v>
      </c>
      <c r="F232" s="124">
        <f>LOOKUP(E232,L231:L235,N231:N235)</f>
        <v>1</v>
      </c>
      <c r="G232" t="s">
        <v>986</v>
      </c>
      <c r="J232" s="121"/>
      <c r="L232" t="s">
        <v>181</v>
      </c>
      <c r="N232" s="122">
        <v>1.04</v>
      </c>
    </row>
    <row r="233" spans="2:15">
      <c r="B233" s="119"/>
      <c r="E233" s="125" t="s">
        <v>180</v>
      </c>
      <c r="F233" s="124">
        <f>LOOKUP(E233,L231:L235,N231:N235)</f>
        <v>1</v>
      </c>
      <c r="J233" s="121"/>
      <c r="L233" t="s">
        <v>182</v>
      </c>
      <c r="N233" s="122">
        <v>1.03</v>
      </c>
    </row>
    <row r="234" spans="2:15">
      <c r="B234" s="119"/>
      <c r="J234" s="121"/>
      <c r="L234" t="s">
        <v>183</v>
      </c>
      <c r="N234" s="122">
        <v>1.01</v>
      </c>
    </row>
    <row r="235" spans="2:15">
      <c r="B235" s="119" t="s">
        <v>184</v>
      </c>
      <c r="J235" s="121"/>
      <c r="L235" t="s">
        <v>180</v>
      </c>
      <c r="N235" s="122">
        <v>1</v>
      </c>
    </row>
    <row r="236" spans="2:15">
      <c r="B236" s="119"/>
      <c r="C236" t="s">
        <v>993</v>
      </c>
      <c r="J236" s="121"/>
    </row>
    <row r="237" spans="2:15">
      <c r="B237" s="119"/>
      <c r="C237" t="s">
        <v>186</v>
      </c>
      <c r="J237" s="121"/>
    </row>
    <row r="238" spans="2:15">
      <c r="B238" s="119"/>
      <c r="C238" t="s">
        <v>187</v>
      </c>
      <c r="J238" s="121"/>
    </row>
    <row r="239" spans="2:15">
      <c r="B239" s="119"/>
      <c r="J239" s="121"/>
    </row>
    <row r="240" spans="2:15">
      <c r="B240" s="119"/>
      <c r="C240" s="82" t="s">
        <v>994</v>
      </c>
      <c r="D240" t="e">
        <f>+FIXED(I34,0)&amp;" / "&amp;FIXED(D225,0)&amp;"　＝　"&amp;FIXED(L240,2)&amp;" %"</f>
        <v>#REF!</v>
      </c>
      <c r="J240" s="121"/>
      <c r="L240" s="126" t="e">
        <f>+ROUND(I34/I102,2)</f>
        <v>#REF!</v>
      </c>
    </row>
    <row r="241" spans="2:12">
      <c r="B241" s="119"/>
      <c r="D241" t="str">
        <f>+IF(D226&gt;0,FIXED(I35,0)&amp;" / "&amp;FIXED(D226,0)&amp;"　＝　"&amp;FIXED(L241,2)&amp;" %","")</f>
        <v/>
      </c>
      <c r="J241" s="121"/>
      <c r="L241" s="126">
        <f>+IF(I103&gt;0,ROUND(I35/I103,2),0)</f>
        <v>0</v>
      </c>
    </row>
    <row r="242" spans="2:12">
      <c r="B242" s="119"/>
      <c r="J242" s="121"/>
    </row>
    <row r="243" spans="2:12">
      <c r="B243" s="119"/>
      <c r="C243" s="82" t="s">
        <v>995</v>
      </c>
      <c r="D243" t="e">
        <f>+"1- ("&amp;FIXED(L240,2)&amp;" / 1.25)　＝　"&amp;FIXED(L243,2)</f>
        <v>#REF!</v>
      </c>
      <c r="J243" s="121"/>
      <c r="L243" s="126" t="e">
        <f>+ROUND(1-(L240/1.25),2)</f>
        <v>#REF!</v>
      </c>
    </row>
    <row r="244" spans="2:12">
      <c r="B244" s="119"/>
      <c r="D244" t="str">
        <f>+IF(D226&gt;0,"1- ("&amp;FIXED(L241,2)&amp;" / 1.25)　＝　"&amp;FIXED(L244,2),"")</f>
        <v/>
      </c>
      <c r="J244" s="121"/>
      <c r="L244" s="126">
        <f>+IF(D226&gt;0,ROUND(1-(L241/1.25),2),0)</f>
        <v>0</v>
      </c>
    </row>
    <row r="245" spans="2:12">
      <c r="B245" s="119"/>
      <c r="J245" s="121"/>
    </row>
    <row r="246" spans="2:12">
      <c r="B246" s="119" t="s">
        <v>190</v>
      </c>
      <c r="J246" s="121"/>
    </row>
    <row r="247" spans="2:12">
      <c r="B247" s="119"/>
      <c r="C247" t="s">
        <v>191</v>
      </c>
      <c r="J247" s="121"/>
    </row>
    <row r="248" spans="2:12">
      <c r="B248" s="119"/>
      <c r="C248" t="s">
        <v>192</v>
      </c>
      <c r="J248" s="121"/>
    </row>
    <row r="249" spans="2:12">
      <c r="B249" s="119"/>
      <c r="J249" s="121"/>
    </row>
    <row r="250" spans="2:12">
      <c r="B250" s="119"/>
      <c r="C250" s="82" t="s">
        <v>996</v>
      </c>
      <c r="D250" t="e">
        <f>+FIXED(K228,2)&amp;" × "&amp;FIXED(F232,2)&amp;" × "&amp;FIXED(L243,2)&amp;"　＝　"&amp;FIXED(L250,2)&amp;" %"</f>
        <v>#REF!</v>
      </c>
      <c r="J250" s="121"/>
      <c r="L250" s="126" t="e">
        <f>+ROUND(K228*F232*L243,2)</f>
        <v>#REF!</v>
      </c>
    </row>
    <row r="251" spans="2:12">
      <c r="B251" s="119"/>
      <c r="D251" t="str">
        <f>+IF(D226&gt;0,FIXED(K229,2)&amp;" × "&amp;FIXED(F233,2)&amp;" × "&amp;FIXED(L244,2)&amp;"　＝　"&amp;FIXED(L251,2)&amp;" %","")</f>
        <v/>
      </c>
      <c r="J251" s="121"/>
      <c r="L251" s="126">
        <f>+IF(D226&gt;0,ROUND(K229*F233*L244,2),0)</f>
        <v>0</v>
      </c>
    </row>
    <row r="252" spans="2:12">
      <c r="B252" s="119"/>
      <c r="J252" s="121"/>
    </row>
    <row r="253" spans="2:12">
      <c r="B253" s="119"/>
      <c r="J253" s="121"/>
    </row>
    <row r="254" spans="2:12">
      <c r="B254" s="119"/>
      <c r="J254" s="121"/>
    </row>
    <row r="255" spans="2:12">
      <c r="B255" s="119"/>
      <c r="J255" s="121"/>
    </row>
    <row r="256" spans="2:12">
      <c r="B256" s="119"/>
      <c r="J256" s="121"/>
    </row>
    <row r="257" spans="2:10">
      <c r="B257" s="119"/>
      <c r="J257" s="121"/>
    </row>
    <row r="258" spans="2:10">
      <c r="B258" s="119"/>
      <c r="J258" s="121"/>
    </row>
    <row r="259" spans="2:10">
      <c r="B259" s="119"/>
      <c r="J259" s="121"/>
    </row>
    <row r="260" spans="2:10">
      <c r="B260" s="119"/>
      <c r="J260" s="121"/>
    </row>
    <row r="261" spans="2:10">
      <c r="B261" s="119"/>
      <c r="J261" s="121"/>
    </row>
    <row r="262" spans="2:10">
      <c r="B262" s="119"/>
      <c r="J262" s="121"/>
    </row>
    <row r="263" spans="2:10">
      <c r="B263" s="119"/>
      <c r="J263" s="121"/>
    </row>
    <row r="264" spans="2:10">
      <c r="B264" s="119"/>
      <c r="J264" s="121"/>
    </row>
    <row r="265" spans="2:10">
      <c r="B265" s="119"/>
      <c r="J265" s="121"/>
    </row>
    <row r="266" spans="2:10">
      <c r="B266" s="119"/>
      <c r="J266" s="121"/>
    </row>
    <row r="267" spans="2:10">
      <c r="B267" s="119"/>
      <c r="J267" s="121"/>
    </row>
    <row r="268" spans="2:10">
      <c r="B268" s="119"/>
      <c r="J268" s="121"/>
    </row>
    <row r="269" spans="2:10">
      <c r="B269" s="119"/>
      <c r="J269" s="121"/>
    </row>
    <row r="270" spans="2:10">
      <c r="B270" s="119"/>
      <c r="J270" s="121"/>
    </row>
    <row r="271" spans="2:10">
      <c r="B271" s="19"/>
      <c r="C271" s="20"/>
      <c r="D271" s="20"/>
      <c r="E271" s="20"/>
      <c r="F271" s="20"/>
      <c r="G271" s="20"/>
      <c r="H271" s="20"/>
      <c r="I271" s="20"/>
      <c r="J271" s="21"/>
    </row>
  </sheetData>
  <mergeCells count="22">
    <mergeCell ref="P91:R91"/>
    <mergeCell ref="D2:I3"/>
    <mergeCell ref="B4:B5"/>
    <mergeCell ref="C4:C5"/>
    <mergeCell ref="D4:E5"/>
    <mergeCell ref="F4:F5"/>
    <mergeCell ref="G4:G5"/>
    <mergeCell ref="H4:H5"/>
    <mergeCell ref="I4:I5"/>
    <mergeCell ref="J4:J5"/>
    <mergeCell ref="P87:R87"/>
    <mergeCell ref="P88:R88"/>
    <mergeCell ref="P89:R89"/>
    <mergeCell ref="P90:R90"/>
    <mergeCell ref="P98:R98"/>
    <mergeCell ref="P99:R99"/>
    <mergeCell ref="P92:R92"/>
    <mergeCell ref="P93:R93"/>
    <mergeCell ref="P94:R94"/>
    <mergeCell ref="P95:R95"/>
    <mergeCell ref="P96:R96"/>
    <mergeCell ref="P97:R97"/>
  </mergeCells>
  <phoneticPr fontId="3"/>
  <dataValidations count="1">
    <dataValidation type="list" allowBlank="1" showInputMessage="1" showErrorMessage="1" sqref="E232:E233" xr:uid="{00000000-0002-0000-0600-000000000000}">
      <formula1>$L$231:$L$235</formula1>
    </dataValidation>
  </dataValidations>
  <printOptions horizontalCentered="1"/>
  <pageMargins left="0.78740157480314965" right="0.39370078740157483" top="0.39370078740157483" bottom="0.39370078740157483" header="0.31496062992125984" footer="0.11811023622047245"/>
  <pageSetup paperSize="9" scale="61" orientation="portrait" blackAndWhite="1" errors="blank" r:id="rId1"/>
  <headerFooter>
    <oddFooter>&amp;C&amp;P</oddFooter>
  </headerFooter>
  <rowBreaks count="3" manualBreakCount="3">
    <brk id="103" min="1" max="9" man="1"/>
    <brk id="155" min="1" max="9" man="1"/>
    <brk id="213"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7:I38"/>
  <sheetViews>
    <sheetView showGridLines="0" view="pageBreakPreview" zoomScale="70" zoomScaleNormal="100" zoomScaleSheetLayoutView="70" workbookViewId="0">
      <selection activeCell="D31" sqref="D31"/>
    </sheetView>
  </sheetViews>
  <sheetFormatPr defaultRowHeight="18.75"/>
  <sheetData>
    <row r="7" spans="2:9" ht="18.75" customHeight="1">
      <c r="B7" s="530" t="s">
        <v>950</v>
      </c>
      <c r="C7" s="530"/>
      <c r="D7" s="530"/>
    </row>
    <row r="8" spans="2:9" ht="18.75" customHeight="1">
      <c r="B8" s="530"/>
      <c r="C8" s="530"/>
      <c r="D8" s="530"/>
    </row>
    <row r="9" spans="2:9">
      <c r="B9" s="530" t="s">
        <v>955</v>
      </c>
      <c r="C9" s="530"/>
      <c r="D9" s="530"/>
      <c r="E9" s="530"/>
      <c r="F9" s="530"/>
      <c r="G9" s="530"/>
      <c r="H9" s="530"/>
      <c r="I9" s="530"/>
    </row>
    <row r="10" spans="2:9">
      <c r="B10" s="530"/>
      <c r="C10" s="530"/>
      <c r="D10" s="530"/>
      <c r="E10" s="530"/>
      <c r="F10" s="530"/>
      <c r="G10" s="530"/>
      <c r="H10" s="530"/>
      <c r="I10" s="530"/>
    </row>
    <row r="11" spans="2:9">
      <c r="B11" s="550" t="s">
        <v>956</v>
      </c>
      <c r="C11" s="550"/>
      <c r="D11" s="550"/>
      <c r="E11" s="550"/>
      <c r="F11" s="550"/>
      <c r="G11" s="550"/>
      <c r="H11" s="550"/>
      <c r="I11" s="550"/>
    </row>
    <row r="12" spans="2:9">
      <c r="B12" s="550"/>
      <c r="C12" s="550"/>
      <c r="D12" s="550"/>
      <c r="E12" s="550"/>
      <c r="F12" s="550"/>
      <c r="G12" s="550"/>
      <c r="H12" s="550"/>
      <c r="I12" s="550"/>
    </row>
    <row r="14" spans="2:9">
      <c r="B14" s="530" t="s">
        <v>997</v>
      </c>
      <c r="C14" s="530"/>
      <c r="D14" s="530"/>
      <c r="E14" s="530"/>
      <c r="F14" s="530"/>
      <c r="G14" s="530"/>
      <c r="H14" s="530"/>
      <c r="I14" s="530"/>
    </row>
    <row r="15" spans="2:9">
      <c r="B15" s="530"/>
      <c r="C15" s="530"/>
      <c r="D15" s="530"/>
      <c r="E15" s="530"/>
      <c r="F15" s="530"/>
      <c r="G15" s="530"/>
      <c r="H15" s="530"/>
      <c r="I15" s="530"/>
    </row>
    <row r="35" spans="2:9">
      <c r="B35" s="528" t="s">
        <v>951</v>
      </c>
      <c r="C35" s="528"/>
      <c r="D35" s="528"/>
      <c r="E35" s="528"/>
      <c r="F35" s="528"/>
      <c r="G35" s="528"/>
      <c r="H35" s="528"/>
      <c r="I35" s="528"/>
    </row>
    <row r="36" spans="2:9">
      <c r="B36" s="528"/>
      <c r="C36" s="528"/>
      <c r="D36" s="528"/>
      <c r="E36" s="528"/>
      <c r="F36" s="528"/>
      <c r="G36" s="528"/>
      <c r="H36" s="528"/>
      <c r="I36" s="528"/>
    </row>
    <row r="37" spans="2:9">
      <c r="B37" s="528" t="s">
        <v>211</v>
      </c>
      <c r="C37" s="528"/>
      <c r="D37" s="528"/>
      <c r="E37" s="528"/>
      <c r="F37" s="528"/>
      <c r="G37" s="528"/>
      <c r="H37" s="528"/>
      <c r="I37" s="528"/>
    </row>
    <row r="38" spans="2:9">
      <c r="B38" s="528"/>
      <c r="C38" s="528"/>
      <c r="D38" s="528"/>
      <c r="E38" s="528"/>
      <c r="F38" s="528"/>
      <c r="G38" s="528"/>
      <c r="H38" s="528"/>
      <c r="I38" s="528"/>
    </row>
  </sheetData>
  <mergeCells count="6">
    <mergeCell ref="B37:I38"/>
    <mergeCell ref="B7:D8"/>
    <mergeCell ref="B9:I10"/>
    <mergeCell ref="B11:I12"/>
    <mergeCell ref="B14:I15"/>
    <mergeCell ref="B35:I36"/>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2:W223"/>
  <sheetViews>
    <sheetView showGridLines="0" showZeros="0" view="pageBreakPreview" topLeftCell="A15" zoomScale="85" zoomScaleNormal="85" zoomScaleSheetLayoutView="85" workbookViewId="0">
      <selection activeCell="D31" sqref="D31"/>
    </sheetView>
  </sheetViews>
  <sheetFormatPr defaultRowHeight="18.75"/>
  <cols>
    <col min="2" max="4" width="12.625" customWidth="1"/>
    <col min="5" max="5" width="23.625" customWidth="1"/>
    <col min="7" max="7" width="5.625" customWidth="1"/>
    <col min="8" max="9" width="12.625" customWidth="1"/>
    <col min="10" max="10" width="20.625" customWidth="1"/>
    <col min="12" max="17" width="9" customWidth="1"/>
  </cols>
  <sheetData>
    <row r="2" spans="2:13">
      <c r="B2" s="16"/>
      <c r="C2" s="17"/>
      <c r="D2" s="545" t="s">
        <v>111</v>
      </c>
      <c r="E2" s="546"/>
      <c r="F2" s="546"/>
      <c r="G2" s="546"/>
      <c r="H2" s="546"/>
      <c r="I2" s="546"/>
      <c r="J2" s="18"/>
    </row>
    <row r="3" spans="2:13">
      <c r="B3" s="19"/>
      <c r="C3" s="20"/>
      <c r="D3" s="547"/>
      <c r="E3" s="547"/>
      <c r="F3" s="547"/>
      <c r="G3" s="547"/>
      <c r="H3" s="547"/>
      <c r="I3" s="547"/>
      <c r="J3" s="103" t="s">
        <v>112</v>
      </c>
    </row>
    <row r="4" spans="2:13">
      <c r="B4" s="552" t="s">
        <v>113</v>
      </c>
      <c r="C4" s="552" t="s">
        <v>114</v>
      </c>
      <c r="D4" s="552" t="s">
        <v>115</v>
      </c>
      <c r="E4" s="552"/>
      <c r="F4" s="552" t="s">
        <v>2</v>
      </c>
      <c r="G4" s="552" t="s">
        <v>3</v>
      </c>
      <c r="H4" s="552" t="s">
        <v>6</v>
      </c>
      <c r="I4" s="552" t="s">
        <v>7</v>
      </c>
      <c r="J4" s="552" t="s">
        <v>8</v>
      </c>
    </row>
    <row r="5" spans="2:13">
      <c r="B5" s="552"/>
      <c r="C5" s="552"/>
      <c r="D5" s="552"/>
      <c r="E5" s="552"/>
      <c r="F5" s="552"/>
      <c r="G5" s="552"/>
      <c r="H5" s="552"/>
      <c r="I5" s="552"/>
      <c r="J5" s="552"/>
    </row>
    <row r="6" spans="2:13">
      <c r="B6" s="2" t="s">
        <v>959</v>
      </c>
      <c r="C6" s="2"/>
      <c r="D6" s="2"/>
      <c r="E6" s="2"/>
      <c r="F6" s="3"/>
      <c r="G6" s="3"/>
      <c r="H6" s="3"/>
      <c r="I6" s="3"/>
      <c r="J6" s="8"/>
    </row>
    <row r="7" spans="2:13">
      <c r="B7" s="1"/>
      <c r="C7" s="1"/>
      <c r="D7" s="1"/>
      <c r="E7" s="1"/>
      <c r="F7" s="1"/>
      <c r="G7" s="1"/>
      <c r="H7" s="1"/>
      <c r="I7" s="1"/>
      <c r="J7" s="9"/>
    </row>
    <row r="8" spans="2:13">
      <c r="B8" s="2"/>
      <c r="C8" s="2" t="s">
        <v>216</v>
      </c>
      <c r="D8" s="2"/>
      <c r="E8" s="2"/>
      <c r="F8" s="3"/>
      <c r="G8" s="3"/>
      <c r="H8" s="3"/>
      <c r="I8" s="3"/>
      <c r="J8" s="8"/>
    </row>
    <row r="9" spans="2:13">
      <c r="B9" s="1"/>
      <c r="C9" s="1"/>
      <c r="D9" s="1"/>
      <c r="E9" s="1"/>
      <c r="F9" s="1"/>
      <c r="G9" s="1"/>
      <c r="H9" s="1"/>
      <c r="I9" s="1"/>
      <c r="J9" s="9"/>
    </row>
    <row r="10" spans="2:13">
      <c r="B10" s="2"/>
      <c r="C10" s="2"/>
      <c r="D10" s="2" t="s">
        <v>10</v>
      </c>
      <c r="E10" s="2"/>
      <c r="F10" s="3"/>
      <c r="G10" s="3"/>
      <c r="H10" s="3"/>
      <c r="I10" s="3"/>
      <c r="J10" s="8"/>
    </row>
    <row r="11" spans="2:13">
      <c r="B11" s="1"/>
      <c r="C11" s="1"/>
      <c r="D11" s="1"/>
      <c r="E11" s="1"/>
      <c r="F11" s="1"/>
      <c r="G11" s="1"/>
      <c r="H11" s="1"/>
      <c r="I11" s="1"/>
      <c r="J11" s="9"/>
    </row>
    <row r="12" spans="2:13">
      <c r="B12" s="2"/>
      <c r="C12" s="2"/>
      <c r="D12" s="2"/>
      <c r="E12" s="2" t="s">
        <v>10</v>
      </c>
      <c r="F12" s="104">
        <v>1</v>
      </c>
      <c r="G12" s="105" t="s">
        <v>117</v>
      </c>
      <c r="H12" s="400">
        <f>'内訳(電気)補助'!H14</f>
        <v>0</v>
      </c>
      <c r="I12" s="106">
        <f>+IF(F12&gt;0,F12*H12,0)</f>
        <v>0</v>
      </c>
      <c r="J12" s="8"/>
      <c r="L12" s="107">
        <f>+I12</f>
        <v>0</v>
      </c>
      <c r="M12" s="107">
        <f>+I13</f>
        <v>0</v>
      </c>
    </row>
    <row r="13" spans="2:13">
      <c r="B13" s="1"/>
      <c r="C13" s="1"/>
      <c r="D13" s="1"/>
      <c r="E13" s="6" t="s">
        <v>910</v>
      </c>
      <c r="F13" s="108">
        <v>1</v>
      </c>
      <c r="G13" s="109"/>
      <c r="H13" s="401"/>
      <c r="I13" s="110">
        <f>+IF(F13&gt;0,F13*H13,0)</f>
        <v>0</v>
      </c>
      <c r="J13" s="9"/>
      <c r="L13" s="111"/>
      <c r="M13" s="111"/>
    </row>
    <row r="14" spans="2:13">
      <c r="B14" s="2"/>
      <c r="C14" s="2"/>
      <c r="D14" s="2"/>
      <c r="E14" s="2" t="s">
        <v>10</v>
      </c>
      <c r="F14" s="104">
        <v>1</v>
      </c>
      <c r="G14" s="105" t="s">
        <v>117</v>
      </c>
      <c r="H14" s="400"/>
      <c r="I14" s="106">
        <f t="shared" ref="I14:I33" si="0">+IF(F14&gt;0,F14*H14,0)</f>
        <v>0</v>
      </c>
      <c r="J14" s="8"/>
      <c r="L14" s="107">
        <f t="shared" ref="L14" si="1">+I14</f>
        <v>0</v>
      </c>
      <c r="M14" s="107">
        <f t="shared" ref="M14" si="2">+I15</f>
        <v>0</v>
      </c>
    </row>
    <row r="15" spans="2:13">
      <c r="B15" s="1"/>
      <c r="C15" s="1"/>
      <c r="D15" s="1"/>
      <c r="E15" s="6" t="s">
        <v>911</v>
      </c>
      <c r="F15" s="108">
        <v>1</v>
      </c>
      <c r="G15" s="109"/>
      <c r="H15" s="401"/>
      <c r="I15" s="110">
        <f t="shared" si="0"/>
        <v>0</v>
      </c>
      <c r="J15" s="9"/>
      <c r="L15" s="111"/>
      <c r="M15" s="111"/>
    </row>
    <row r="16" spans="2:13" hidden="1">
      <c r="B16" s="2"/>
      <c r="C16" s="2"/>
      <c r="D16" s="2"/>
      <c r="E16" s="2"/>
      <c r="F16" s="104"/>
      <c r="G16" s="105" t="s">
        <v>117</v>
      </c>
      <c r="H16" s="400"/>
      <c r="I16" s="106">
        <f t="shared" si="0"/>
        <v>0</v>
      </c>
      <c r="J16" s="8"/>
      <c r="L16" s="107">
        <f t="shared" ref="L16" si="3">+I16</f>
        <v>0</v>
      </c>
      <c r="M16" s="107">
        <f t="shared" ref="M16" si="4">+I17</f>
        <v>0</v>
      </c>
    </row>
    <row r="17" spans="2:13" hidden="1">
      <c r="B17" s="1"/>
      <c r="C17" s="1"/>
      <c r="D17" s="1"/>
      <c r="E17" s="6"/>
      <c r="F17" s="108"/>
      <c r="G17" s="109"/>
      <c r="H17" s="401"/>
      <c r="I17" s="110">
        <f t="shared" si="0"/>
        <v>0</v>
      </c>
      <c r="J17" s="9"/>
      <c r="L17" s="111"/>
      <c r="M17" s="111"/>
    </row>
    <row r="18" spans="2:13" hidden="1">
      <c r="B18" s="2"/>
      <c r="C18" s="2"/>
      <c r="D18" s="2"/>
      <c r="E18" s="2"/>
      <c r="F18" s="104"/>
      <c r="G18" s="105" t="s">
        <v>117</v>
      </c>
      <c r="H18" s="400"/>
      <c r="I18" s="106">
        <f t="shared" si="0"/>
        <v>0</v>
      </c>
      <c r="J18" s="8"/>
      <c r="L18" s="107">
        <f t="shared" ref="L18" si="5">+I18</f>
        <v>0</v>
      </c>
      <c r="M18" s="107">
        <f t="shared" ref="M18" si="6">+I19</f>
        <v>0</v>
      </c>
    </row>
    <row r="19" spans="2:13" hidden="1">
      <c r="B19" s="1"/>
      <c r="C19" s="1"/>
      <c r="D19" s="1"/>
      <c r="E19" s="6"/>
      <c r="F19" s="108"/>
      <c r="G19" s="109"/>
      <c r="H19" s="401"/>
      <c r="I19" s="110">
        <f t="shared" si="0"/>
        <v>0</v>
      </c>
      <c r="J19" s="9"/>
      <c r="L19" s="111"/>
      <c r="M19" s="111"/>
    </row>
    <row r="20" spans="2:13" hidden="1">
      <c r="B20" s="2"/>
      <c r="C20" s="2"/>
      <c r="D20" s="2"/>
      <c r="E20" s="2" t="s">
        <v>10</v>
      </c>
      <c r="F20" s="104"/>
      <c r="G20" s="105" t="s">
        <v>117</v>
      </c>
      <c r="H20" s="400"/>
      <c r="I20" s="106">
        <f t="shared" si="0"/>
        <v>0</v>
      </c>
      <c r="J20" s="8"/>
      <c r="L20" s="107">
        <f t="shared" ref="L20" si="7">+I20</f>
        <v>0</v>
      </c>
      <c r="M20" s="107">
        <f t="shared" ref="M20" si="8">+I21</f>
        <v>0</v>
      </c>
    </row>
    <row r="21" spans="2:13" hidden="1">
      <c r="B21" s="1"/>
      <c r="C21" s="1"/>
      <c r="D21" s="1"/>
      <c r="E21" s="6" t="s">
        <v>960</v>
      </c>
      <c r="F21" s="108"/>
      <c r="G21" s="109"/>
      <c r="H21" s="401"/>
      <c r="I21" s="110">
        <f t="shared" si="0"/>
        <v>0</v>
      </c>
      <c r="J21" s="9"/>
      <c r="L21" s="111"/>
      <c r="M21" s="111"/>
    </row>
    <row r="22" spans="2:13" hidden="1">
      <c r="B22" s="2"/>
      <c r="C22" s="2"/>
      <c r="D22" s="2"/>
      <c r="E22" s="2" t="s">
        <v>10</v>
      </c>
      <c r="F22" s="104"/>
      <c r="G22" s="105" t="s">
        <v>117</v>
      </c>
      <c r="H22" s="402"/>
      <c r="I22" s="106">
        <f t="shared" si="0"/>
        <v>0</v>
      </c>
      <c r="J22" s="8"/>
      <c r="L22" s="107">
        <f t="shared" ref="L22" si="9">+I22</f>
        <v>0</v>
      </c>
      <c r="M22" s="107">
        <f t="shared" ref="M22" si="10">+I23</f>
        <v>0</v>
      </c>
    </row>
    <row r="23" spans="2:13" hidden="1">
      <c r="B23" s="1"/>
      <c r="C23" s="1"/>
      <c r="D23" s="1"/>
      <c r="E23" s="6" t="s">
        <v>961</v>
      </c>
      <c r="F23" s="108"/>
      <c r="G23" s="109"/>
      <c r="H23" s="403"/>
      <c r="I23" s="110">
        <f t="shared" si="0"/>
        <v>0</v>
      </c>
      <c r="J23" s="9"/>
      <c r="L23" s="111"/>
      <c r="M23" s="111"/>
    </row>
    <row r="24" spans="2:13" hidden="1">
      <c r="B24" s="2"/>
      <c r="C24" s="2"/>
      <c r="D24" s="2"/>
      <c r="E24" s="2" t="s">
        <v>10</v>
      </c>
      <c r="F24" s="104"/>
      <c r="G24" s="105" t="s">
        <v>117</v>
      </c>
      <c r="H24" s="402"/>
      <c r="I24" s="106">
        <f t="shared" si="0"/>
        <v>0</v>
      </c>
      <c r="J24" s="8"/>
      <c r="L24" s="107">
        <f t="shared" ref="L24" si="11">+I24</f>
        <v>0</v>
      </c>
      <c r="M24" s="107">
        <f t="shared" ref="M24" si="12">+I25</f>
        <v>0</v>
      </c>
    </row>
    <row r="25" spans="2:13" hidden="1">
      <c r="B25" s="1"/>
      <c r="C25" s="1"/>
      <c r="D25" s="1"/>
      <c r="E25" s="6" t="s">
        <v>962</v>
      </c>
      <c r="F25" s="108"/>
      <c r="G25" s="109"/>
      <c r="H25" s="403"/>
      <c r="I25" s="110">
        <f t="shared" si="0"/>
        <v>0</v>
      </c>
      <c r="J25" s="9"/>
      <c r="L25" s="111"/>
      <c r="M25" s="111"/>
    </row>
    <row r="26" spans="2:13" hidden="1">
      <c r="B26" s="2"/>
      <c r="C26" s="2"/>
      <c r="D26" s="2"/>
      <c r="E26" s="2" t="s">
        <v>10</v>
      </c>
      <c r="F26" s="104"/>
      <c r="G26" s="105" t="s">
        <v>117</v>
      </c>
      <c r="H26" s="402"/>
      <c r="I26" s="106">
        <f t="shared" si="0"/>
        <v>0</v>
      </c>
      <c r="J26" s="8"/>
      <c r="L26" s="107">
        <f t="shared" ref="L26" si="13">+I26</f>
        <v>0</v>
      </c>
      <c r="M26" s="107">
        <f t="shared" ref="M26" si="14">+I27</f>
        <v>0</v>
      </c>
    </row>
    <row r="27" spans="2:13" hidden="1">
      <c r="B27" s="1"/>
      <c r="C27" s="1"/>
      <c r="D27" s="1"/>
      <c r="E27" s="6" t="s">
        <v>963</v>
      </c>
      <c r="F27" s="108"/>
      <c r="G27" s="109"/>
      <c r="H27" s="403"/>
      <c r="I27" s="110">
        <f t="shared" si="0"/>
        <v>0</v>
      </c>
      <c r="J27" s="9"/>
      <c r="L27" s="111"/>
      <c r="M27" s="111"/>
    </row>
    <row r="28" spans="2:13" hidden="1">
      <c r="B28" s="2"/>
      <c r="C28" s="2"/>
      <c r="D28" s="2"/>
      <c r="E28" s="2" t="s">
        <v>10</v>
      </c>
      <c r="F28" s="104"/>
      <c r="G28" s="105" t="s">
        <v>117</v>
      </c>
      <c r="H28" s="402"/>
      <c r="I28" s="106">
        <f t="shared" si="0"/>
        <v>0</v>
      </c>
      <c r="J28" s="8"/>
      <c r="L28" s="107">
        <f t="shared" ref="L28" si="15">+I28</f>
        <v>0</v>
      </c>
      <c r="M28" s="107">
        <f t="shared" ref="M28" si="16">+I29</f>
        <v>0</v>
      </c>
    </row>
    <row r="29" spans="2:13" hidden="1">
      <c r="B29" s="1"/>
      <c r="C29" s="1"/>
      <c r="D29" s="1"/>
      <c r="E29" s="6" t="s">
        <v>964</v>
      </c>
      <c r="F29" s="108"/>
      <c r="G29" s="109"/>
      <c r="H29" s="403"/>
      <c r="I29" s="110">
        <f t="shared" si="0"/>
        <v>0</v>
      </c>
      <c r="J29" s="9"/>
      <c r="L29" s="111"/>
      <c r="M29" s="111"/>
    </row>
    <row r="30" spans="2:13" hidden="1">
      <c r="B30" s="2"/>
      <c r="C30" s="2"/>
      <c r="D30" s="2"/>
      <c r="E30" s="2" t="s">
        <v>10</v>
      </c>
      <c r="F30" s="104"/>
      <c r="G30" s="105" t="s">
        <v>117</v>
      </c>
      <c r="H30" s="402"/>
      <c r="I30" s="106">
        <f t="shared" si="0"/>
        <v>0</v>
      </c>
      <c r="J30" s="8"/>
      <c r="L30" s="107">
        <f t="shared" ref="L30" si="17">+I30</f>
        <v>0</v>
      </c>
      <c r="M30" s="107">
        <f t="shared" ref="M30" si="18">+I31</f>
        <v>0</v>
      </c>
    </row>
    <row r="31" spans="2:13" hidden="1">
      <c r="B31" s="1"/>
      <c r="C31" s="1"/>
      <c r="D31" s="1"/>
      <c r="E31" s="6" t="s">
        <v>965</v>
      </c>
      <c r="F31" s="108"/>
      <c r="G31" s="109"/>
      <c r="H31" s="403"/>
      <c r="I31" s="110">
        <f t="shared" si="0"/>
        <v>0</v>
      </c>
      <c r="J31" s="9"/>
      <c r="L31" s="111"/>
      <c r="M31" s="111"/>
    </row>
    <row r="32" spans="2:13" hidden="1">
      <c r="B32" s="2"/>
      <c r="C32" s="2"/>
      <c r="D32" s="2"/>
      <c r="E32" s="2" t="s">
        <v>10</v>
      </c>
      <c r="F32" s="104"/>
      <c r="G32" s="105" t="s">
        <v>117</v>
      </c>
      <c r="H32" s="402"/>
      <c r="I32" s="106">
        <f t="shared" si="0"/>
        <v>0</v>
      </c>
      <c r="J32" s="8"/>
      <c r="L32" s="107">
        <f t="shared" ref="L32" si="19">+I32</f>
        <v>0</v>
      </c>
      <c r="M32" s="107">
        <f t="shared" ref="M32" si="20">+I33</f>
        <v>0</v>
      </c>
    </row>
    <row r="33" spans="2:23" hidden="1">
      <c r="B33" s="1"/>
      <c r="C33" s="1"/>
      <c r="D33" s="1"/>
      <c r="E33" s="6" t="s">
        <v>966</v>
      </c>
      <c r="F33" s="108"/>
      <c r="G33" s="109"/>
      <c r="H33" s="403"/>
      <c r="I33" s="110">
        <f t="shared" si="0"/>
        <v>0</v>
      </c>
      <c r="J33" s="9"/>
      <c r="L33" s="111"/>
      <c r="M33" s="111"/>
    </row>
    <row r="34" spans="2:23">
      <c r="B34" s="2"/>
      <c r="C34" s="2"/>
      <c r="D34" s="2"/>
      <c r="E34" s="2" t="s">
        <v>118</v>
      </c>
      <c r="F34" s="4">
        <f>+IF(I34&gt;0,1,0)</f>
        <v>0</v>
      </c>
      <c r="G34" s="105" t="s">
        <v>117</v>
      </c>
      <c r="H34" s="4"/>
      <c r="I34" s="106">
        <f>+L34</f>
        <v>0</v>
      </c>
      <c r="J34" s="8" t="s">
        <v>119</v>
      </c>
      <c r="L34" s="112">
        <f>+SUM(L12:L33)</f>
        <v>0</v>
      </c>
      <c r="M34" s="112">
        <f>+SUM(M12:M33)</f>
        <v>0</v>
      </c>
    </row>
    <row r="35" spans="2:23">
      <c r="B35" s="1"/>
      <c r="C35" s="1"/>
      <c r="D35" s="1"/>
      <c r="E35" s="6"/>
      <c r="F35" s="5">
        <f>+IF(I35&gt;0,1,0)</f>
        <v>0</v>
      </c>
      <c r="G35" s="109"/>
      <c r="H35" s="5"/>
      <c r="I35" s="110">
        <f>+M34</f>
        <v>0</v>
      </c>
      <c r="J35" s="9"/>
      <c r="L35" s="36"/>
    </row>
    <row r="36" spans="2:23">
      <c r="B36" s="2"/>
      <c r="C36" s="2"/>
      <c r="D36" s="2" t="s">
        <v>120</v>
      </c>
      <c r="E36" s="2"/>
      <c r="F36" s="3"/>
      <c r="G36" s="3"/>
      <c r="H36" s="3"/>
      <c r="I36" s="3"/>
      <c r="J36" s="8"/>
    </row>
    <row r="37" spans="2:23">
      <c r="B37" s="1"/>
      <c r="C37" s="1"/>
      <c r="D37" s="1"/>
      <c r="E37" s="1"/>
      <c r="F37" s="1"/>
      <c r="G37" s="1"/>
      <c r="H37" s="1"/>
      <c r="I37" s="1"/>
      <c r="J37" s="9"/>
    </row>
    <row r="38" spans="2:23">
      <c r="B38" s="2"/>
      <c r="C38" s="2"/>
      <c r="D38" s="2"/>
      <c r="E38" s="2" t="s">
        <v>120</v>
      </c>
      <c r="F38" s="104">
        <v>1</v>
      </c>
      <c r="G38" s="105" t="s">
        <v>117</v>
      </c>
      <c r="H38" s="400">
        <f>'内訳(電気)補助'!H36</f>
        <v>0</v>
      </c>
      <c r="I38" s="106">
        <f>+IF(F38&gt;0,F38*H38,0)</f>
        <v>0</v>
      </c>
      <c r="J38" s="8"/>
      <c r="L38" s="107">
        <f>+I38</f>
        <v>0</v>
      </c>
      <c r="M38" s="107">
        <f>+I39</f>
        <v>0</v>
      </c>
      <c r="N38" s="113"/>
      <c r="O38" s="113"/>
    </row>
    <row r="39" spans="2:23">
      <c r="B39" s="1"/>
      <c r="C39" s="1"/>
      <c r="D39" s="1"/>
      <c r="E39" s="6" t="s">
        <v>910</v>
      </c>
      <c r="F39" s="108">
        <v>1</v>
      </c>
      <c r="G39" s="109"/>
      <c r="H39" s="401"/>
      <c r="I39" s="110">
        <f>+IF(F39&gt;0,F39*H39,0)</f>
        <v>0</v>
      </c>
      <c r="J39" s="9"/>
      <c r="L39" s="111"/>
      <c r="M39" s="111"/>
    </row>
    <row r="40" spans="2:23">
      <c r="B40" s="2"/>
      <c r="C40" s="2"/>
      <c r="D40" s="2"/>
      <c r="E40" s="2" t="s">
        <v>120</v>
      </c>
      <c r="F40" s="104">
        <v>1</v>
      </c>
      <c r="G40" s="105" t="s">
        <v>117</v>
      </c>
      <c r="H40" s="400">
        <f>'内訳(電気)単独'!I44</f>
        <v>0</v>
      </c>
      <c r="I40" s="106">
        <f t="shared" ref="I40:I59" si="21">+IF(F40&gt;0,F40*H40,0)</f>
        <v>0</v>
      </c>
      <c r="J40" s="8"/>
      <c r="L40" s="107">
        <f t="shared" ref="L40" si="22">+I40</f>
        <v>0</v>
      </c>
      <c r="M40" s="107">
        <f t="shared" ref="M40" si="23">+I41</f>
        <v>0</v>
      </c>
      <c r="N40" s="36"/>
      <c r="P40" s="113"/>
      <c r="Q40" s="113"/>
    </row>
    <row r="41" spans="2:23">
      <c r="B41" s="1"/>
      <c r="C41" s="1"/>
      <c r="D41" s="1"/>
      <c r="E41" s="6" t="s">
        <v>911</v>
      </c>
      <c r="F41" s="108">
        <v>1</v>
      </c>
      <c r="G41" s="109"/>
      <c r="H41" s="401"/>
      <c r="I41" s="110">
        <f t="shared" si="21"/>
        <v>0</v>
      </c>
      <c r="J41" s="9"/>
      <c r="L41" s="111"/>
      <c r="M41" s="111"/>
      <c r="N41" s="36"/>
    </row>
    <row r="42" spans="2:23" hidden="1">
      <c r="B42" s="2"/>
      <c r="C42" s="2"/>
      <c r="D42" s="2"/>
      <c r="E42" s="2"/>
      <c r="F42" s="104">
        <v>1</v>
      </c>
      <c r="G42" s="105" t="s">
        <v>117</v>
      </c>
      <c r="H42" s="400"/>
      <c r="I42" s="106">
        <f t="shared" si="21"/>
        <v>0</v>
      </c>
      <c r="J42" s="8"/>
      <c r="L42" s="107">
        <f t="shared" ref="L42" si="24">+I42</f>
        <v>0</v>
      </c>
      <c r="M42" s="107">
        <f t="shared" ref="M42" si="25">+I43</f>
        <v>0</v>
      </c>
      <c r="O42" s="36"/>
      <c r="R42" s="113"/>
      <c r="S42" s="113"/>
    </row>
    <row r="43" spans="2:23" hidden="1">
      <c r="B43" s="1"/>
      <c r="C43" s="1"/>
      <c r="D43" s="1"/>
      <c r="E43" s="6"/>
      <c r="F43" s="108">
        <v>1</v>
      </c>
      <c r="G43" s="109"/>
      <c r="H43" s="401"/>
      <c r="I43" s="110">
        <f t="shared" si="21"/>
        <v>0</v>
      </c>
      <c r="J43" s="9"/>
      <c r="L43" s="111"/>
      <c r="M43" s="111"/>
      <c r="O43" s="36"/>
    </row>
    <row r="44" spans="2:23" hidden="1">
      <c r="B44" s="2"/>
      <c r="C44" s="2"/>
      <c r="D44" s="2"/>
      <c r="E44" s="2"/>
      <c r="F44" s="104">
        <v>1</v>
      </c>
      <c r="G44" s="105" t="s">
        <v>117</v>
      </c>
      <c r="H44" s="400"/>
      <c r="I44" s="106">
        <f t="shared" si="21"/>
        <v>0</v>
      </c>
      <c r="J44" s="8"/>
      <c r="L44" s="107">
        <f t="shared" ref="L44" si="26">+I44</f>
        <v>0</v>
      </c>
      <c r="M44" s="107">
        <f t="shared" ref="M44" si="27">+I45</f>
        <v>0</v>
      </c>
      <c r="P44" s="36"/>
      <c r="T44" s="113"/>
      <c r="U44" s="113"/>
    </row>
    <row r="45" spans="2:23" hidden="1">
      <c r="B45" s="1"/>
      <c r="C45" s="1"/>
      <c r="D45" s="1"/>
      <c r="E45" s="6"/>
      <c r="F45" s="108">
        <v>1</v>
      </c>
      <c r="G45" s="109"/>
      <c r="H45" s="401"/>
      <c r="I45" s="110">
        <f t="shared" si="21"/>
        <v>0</v>
      </c>
      <c r="J45" s="9"/>
      <c r="L45" s="111"/>
      <c r="M45" s="111"/>
      <c r="P45" s="36"/>
    </row>
    <row r="46" spans="2:23" hidden="1">
      <c r="B46" s="2"/>
      <c r="C46" s="2"/>
      <c r="D46" s="2"/>
      <c r="E46" s="2" t="s">
        <v>120</v>
      </c>
      <c r="F46" s="104"/>
      <c r="G46" s="105" t="s">
        <v>117</v>
      </c>
      <c r="H46" s="400"/>
      <c r="I46" s="106">
        <f t="shared" si="21"/>
        <v>0</v>
      </c>
      <c r="J46" s="8"/>
      <c r="L46" s="107">
        <f t="shared" ref="L46" si="28">+I46</f>
        <v>0</v>
      </c>
      <c r="M46" s="107">
        <f t="shared" ref="M46" si="29">+I47</f>
        <v>0</v>
      </c>
      <c r="Q46" s="36"/>
      <c r="V46" s="113"/>
      <c r="W46" s="113"/>
    </row>
    <row r="47" spans="2:23" hidden="1">
      <c r="B47" s="1"/>
      <c r="C47" s="1"/>
      <c r="D47" s="1"/>
      <c r="E47" s="6" t="s">
        <v>960</v>
      </c>
      <c r="F47" s="108"/>
      <c r="G47" s="109"/>
      <c r="H47" s="401"/>
      <c r="I47" s="110">
        <f t="shared" si="21"/>
        <v>0</v>
      </c>
      <c r="J47" s="9"/>
      <c r="L47" s="111"/>
      <c r="M47" s="111"/>
      <c r="Q47" s="36"/>
    </row>
    <row r="48" spans="2:23" hidden="1">
      <c r="B48" s="2"/>
      <c r="C48" s="2"/>
      <c r="D48" s="2"/>
      <c r="E48" s="2" t="s">
        <v>120</v>
      </c>
      <c r="F48" s="104"/>
      <c r="G48" s="105" t="s">
        <v>117</v>
      </c>
      <c r="H48" s="402"/>
      <c r="I48" s="106">
        <f t="shared" si="21"/>
        <v>0</v>
      </c>
      <c r="J48" s="8"/>
      <c r="L48" s="107">
        <f t="shared" ref="L48" si="30">+I48</f>
        <v>0</v>
      </c>
      <c r="M48" s="107">
        <f t="shared" ref="M48" si="31">+I49</f>
        <v>0</v>
      </c>
    </row>
    <row r="49" spans="2:15" hidden="1">
      <c r="B49" s="1"/>
      <c r="C49" s="1"/>
      <c r="D49" s="1"/>
      <c r="E49" s="6" t="s">
        <v>961</v>
      </c>
      <c r="F49" s="108"/>
      <c r="G49" s="109"/>
      <c r="H49" s="403"/>
      <c r="I49" s="110">
        <f t="shared" si="21"/>
        <v>0</v>
      </c>
      <c r="J49" s="9"/>
      <c r="L49" s="111"/>
      <c r="M49" s="111"/>
    </row>
    <row r="50" spans="2:15" hidden="1">
      <c r="B50" s="2"/>
      <c r="C50" s="2"/>
      <c r="D50" s="2"/>
      <c r="E50" s="2" t="s">
        <v>120</v>
      </c>
      <c r="F50" s="104"/>
      <c r="G50" s="105" t="s">
        <v>117</v>
      </c>
      <c r="H50" s="402"/>
      <c r="I50" s="106">
        <f t="shared" si="21"/>
        <v>0</v>
      </c>
      <c r="J50" s="8"/>
      <c r="L50" s="107">
        <f t="shared" ref="L50" si="32">+I50</f>
        <v>0</v>
      </c>
      <c r="M50" s="107">
        <f t="shared" ref="M50" si="33">+I51</f>
        <v>0</v>
      </c>
    </row>
    <row r="51" spans="2:15" hidden="1">
      <c r="B51" s="1"/>
      <c r="C51" s="1"/>
      <c r="D51" s="1"/>
      <c r="E51" s="6" t="s">
        <v>962</v>
      </c>
      <c r="F51" s="108"/>
      <c r="G51" s="109"/>
      <c r="H51" s="403"/>
      <c r="I51" s="110">
        <f t="shared" si="21"/>
        <v>0</v>
      </c>
      <c r="J51" s="9"/>
      <c r="L51" s="111"/>
      <c r="M51" s="111"/>
    </row>
    <row r="52" spans="2:15" hidden="1">
      <c r="B52" s="2"/>
      <c r="C52" s="2"/>
      <c r="D52" s="2"/>
      <c r="E52" s="2" t="s">
        <v>120</v>
      </c>
      <c r="F52" s="104"/>
      <c r="G52" s="105" t="s">
        <v>117</v>
      </c>
      <c r="H52" s="402"/>
      <c r="I52" s="106">
        <f t="shared" si="21"/>
        <v>0</v>
      </c>
      <c r="J52" s="8"/>
      <c r="L52" s="107">
        <f t="shared" ref="L52" si="34">+I52</f>
        <v>0</v>
      </c>
      <c r="M52" s="107">
        <f t="shared" ref="M52" si="35">+I53</f>
        <v>0</v>
      </c>
    </row>
    <row r="53" spans="2:15" hidden="1">
      <c r="B53" s="1"/>
      <c r="C53" s="1"/>
      <c r="D53" s="1"/>
      <c r="E53" s="6" t="s">
        <v>963</v>
      </c>
      <c r="F53" s="108"/>
      <c r="G53" s="109"/>
      <c r="H53" s="403"/>
      <c r="I53" s="110">
        <f t="shared" si="21"/>
        <v>0</v>
      </c>
      <c r="J53" s="9"/>
      <c r="L53" s="111"/>
      <c r="M53" s="111"/>
    </row>
    <row r="54" spans="2:15" hidden="1">
      <c r="B54" s="2"/>
      <c r="C54" s="2"/>
      <c r="D54" s="2"/>
      <c r="E54" s="2" t="s">
        <v>120</v>
      </c>
      <c r="F54" s="104"/>
      <c r="G54" s="105" t="s">
        <v>117</v>
      </c>
      <c r="H54" s="402"/>
      <c r="I54" s="106">
        <f t="shared" si="21"/>
        <v>0</v>
      </c>
      <c r="J54" s="8"/>
      <c r="L54" s="107">
        <f t="shared" ref="L54" si="36">+I54</f>
        <v>0</v>
      </c>
      <c r="M54" s="107">
        <f t="shared" ref="M54" si="37">+I55</f>
        <v>0</v>
      </c>
    </row>
    <row r="55" spans="2:15" hidden="1">
      <c r="B55" s="1"/>
      <c r="C55" s="1"/>
      <c r="D55" s="1"/>
      <c r="E55" s="6" t="s">
        <v>964</v>
      </c>
      <c r="F55" s="108"/>
      <c r="G55" s="109"/>
      <c r="H55" s="403"/>
      <c r="I55" s="110">
        <f t="shared" si="21"/>
        <v>0</v>
      </c>
      <c r="J55" s="9"/>
      <c r="L55" s="111"/>
      <c r="M55" s="111"/>
    </row>
    <row r="56" spans="2:15" hidden="1">
      <c r="B56" s="2"/>
      <c r="C56" s="2"/>
      <c r="D56" s="2"/>
      <c r="E56" s="2" t="s">
        <v>120</v>
      </c>
      <c r="F56" s="104"/>
      <c r="G56" s="105" t="s">
        <v>117</v>
      </c>
      <c r="H56" s="402"/>
      <c r="I56" s="106">
        <f t="shared" si="21"/>
        <v>0</v>
      </c>
      <c r="J56" s="8"/>
      <c r="L56" s="107">
        <f t="shared" ref="L56" si="38">+I56</f>
        <v>0</v>
      </c>
      <c r="M56" s="107">
        <f t="shared" ref="M56" si="39">+I57</f>
        <v>0</v>
      </c>
    </row>
    <row r="57" spans="2:15" hidden="1">
      <c r="B57" s="1"/>
      <c r="C57" s="1"/>
      <c r="D57" s="1"/>
      <c r="E57" s="6" t="s">
        <v>965</v>
      </c>
      <c r="F57" s="108"/>
      <c r="G57" s="109"/>
      <c r="H57" s="403"/>
      <c r="I57" s="110">
        <f t="shared" si="21"/>
        <v>0</v>
      </c>
      <c r="J57" s="9"/>
      <c r="L57" s="111"/>
      <c r="M57" s="111"/>
    </row>
    <row r="58" spans="2:15" hidden="1">
      <c r="B58" s="2"/>
      <c r="C58" s="2"/>
      <c r="D58" s="2"/>
      <c r="E58" s="2" t="s">
        <v>120</v>
      </c>
      <c r="F58" s="104"/>
      <c r="G58" s="105" t="s">
        <v>117</v>
      </c>
      <c r="H58" s="402"/>
      <c r="I58" s="106">
        <f t="shared" si="21"/>
        <v>0</v>
      </c>
      <c r="J58" s="8"/>
      <c r="L58" s="107">
        <f t="shared" ref="L58" si="40">+I58</f>
        <v>0</v>
      </c>
      <c r="M58" s="107">
        <f t="shared" ref="M58" si="41">+I59</f>
        <v>0</v>
      </c>
    </row>
    <row r="59" spans="2:15" hidden="1">
      <c r="B59" s="1"/>
      <c r="C59" s="1"/>
      <c r="D59" s="1"/>
      <c r="E59" s="6" t="s">
        <v>966</v>
      </c>
      <c r="F59" s="108"/>
      <c r="G59" s="109"/>
      <c r="H59" s="403"/>
      <c r="I59" s="110">
        <f t="shared" si="21"/>
        <v>0</v>
      </c>
      <c r="J59" s="9"/>
      <c r="L59" s="111"/>
      <c r="M59" s="111"/>
    </row>
    <row r="60" spans="2:15">
      <c r="B60" s="2"/>
      <c r="C60" s="2"/>
      <c r="D60" s="2"/>
      <c r="E60" s="2" t="s">
        <v>118</v>
      </c>
      <c r="F60" s="4">
        <f>+IF(I60&gt;0,1,0)</f>
        <v>0</v>
      </c>
      <c r="G60" s="105" t="s">
        <v>117</v>
      </c>
      <c r="H60" s="4"/>
      <c r="I60" s="106">
        <f>+L60</f>
        <v>0</v>
      </c>
      <c r="J60" s="8" t="s">
        <v>967</v>
      </c>
      <c r="L60" s="112">
        <f>+SUM(L38:L59)</f>
        <v>0</v>
      </c>
      <c r="M60" s="112">
        <f>+SUM(M38:M59)</f>
        <v>0</v>
      </c>
      <c r="N60" s="113"/>
      <c r="O60" s="113"/>
    </row>
    <row r="61" spans="2:15">
      <c r="B61" s="1"/>
      <c r="C61" s="1"/>
      <c r="D61" s="1"/>
      <c r="E61" s="6"/>
      <c r="F61" s="5">
        <f>+IF(I61&gt;0,1,0)</f>
        <v>0</v>
      </c>
      <c r="G61" s="109"/>
      <c r="H61" s="5"/>
      <c r="I61" s="110">
        <f>+M60</f>
        <v>0</v>
      </c>
      <c r="J61" s="9"/>
      <c r="L61" s="36"/>
    </row>
    <row r="62" spans="2:15">
      <c r="B62" s="2"/>
      <c r="C62" s="2"/>
      <c r="D62" s="2" t="s">
        <v>121</v>
      </c>
      <c r="E62" s="2"/>
      <c r="F62" s="4"/>
      <c r="G62" s="105"/>
      <c r="H62" s="4"/>
      <c r="I62" s="4"/>
      <c r="J62" s="45"/>
    </row>
    <row r="63" spans="2:15">
      <c r="B63" s="1"/>
      <c r="C63" s="1"/>
      <c r="D63" s="1"/>
      <c r="E63" s="6"/>
      <c r="F63" s="5"/>
      <c r="G63" s="109"/>
      <c r="H63" s="5"/>
      <c r="I63" s="5"/>
      <c r="J63" s="9"/>
    </row>
    <row r="64" spans="2:15">
      <c r="B64" s="2"/>
      <c r="C64" s="2"/>
      <c r="D64" s="2"/>
      <c r="E64" s="2" t="s">
        <v>122</v>
      </c>
      <c r="F64" s="114">
        <f>+K122</f>
        <v>18.7</v>
      </c>
      <c r="G64" s="105" t="s">
        <v>968</v>
      </c>
      <c r="H64" s="4">
        <f>+D119</f>
        <v>0</v>
      </c>
      <c r="I64" s="106">
        <f>+IF(H64&gt;0,INT(H64*F64%/1000)*1000,0)</f>
        <v>0</v>
      </c>
      <c r="J64" s="45" t="s">
        <v>124</v>
      </c>
    </row>
    <row r="65" spans="2:10">
      <c r="B65" s="1"/>
      <c r="C65" s="1"/>
      <c r="D65" s="1"/>
      <c r="E65" s="6"/>
      <c r="F65" s="115">
        <f>+K123</f>
        <v>0</v>
      </c>
      <c r="G65" s="109"/>
      <c r="H65" s="5">
        <f>+D120</f>
        <v>0</v>
      </c>
      <c r="I65" s="110">
        <f>+IF(H65&gt;0,INT(H65*F65%/1000)*1000,0)</f>
        <v>0</v>
      </c>
      <c r="J65" s="9"/>
    </row>
    <row r="66" spans="2:10" hidden="1">
      <c r="B66" s="2"/>
      <c r="C66" s="2"/>
      <c r="D66" s="2"/>
      <c r="E66" s="2" t="s">
        <v>44</v>
      </c>
      <c r="F66" s="4">
        <v>1</v>
      </c>
      <c r="G66" s="105" t="s">
        <v>117</v>
      </c>
      <c r="H66" s="4">
        <f>+SUM(H68,H70,H72,H74,H76,H78)</f>
        <v>0</v>
      </c>
      <c r="I66" s="106">
        <f t="shared" ref="I66:I81" si="42">+IF(F66&gt;0,F66*H66,0)</f>
        <v>0</v>
      </c>
      <c r="J66" s="45" t="s">
        <v>969</v>
      </c>
    </row>
    <row r="67" spans="2:10" hidden="1">
      <c r="B67" s="1"/>
      <c r="C67" s="1"/>
      <c r="D67" s="1"/>
      <c r="E67" s="6"/>
      <c r="F67" s="5"/>
      <c r="G67" s="109"/>
      <c r="H67" s="5">
        <f>+SUM(H69,H71,H73,H75,H77,H79)</f>
        <v>0</v>
      </c>
      <c r="I67" s="110">
        <f t="shared" si="42"/>
        <v>0</v>
      </c>
      <c r="J67" s="9"/>
    </row>
    <row r="68" spans="2:10" hidden="1">
      <c r="B68" s="2"/>
      <c r="C68" s="2"/>
      <c r="D68" s="2"/>
      <c r="E68" s="2"/>
      <c r="F68" s="104">
        <v>1</v>
      </c>
      <c r="G68" s="105" t="s">
        <v>117</v>
      </c>
      <c r="H68" s="104"/>
      <c r="I68" s="106">
        <f t="shared" si="42"/>
        <v>0</v>
      </c>
      <c r="J68" s="45" t="s">
        <v>970</v>
      </c>
    </row>
    <row r="69" spans="2:10" hidden="1">
      <c r="B69" s="1"/>
      <c r="C69" s="1"/>
      <c r="D69" s="1"/>
      <c r="E69" s="6"/>
      <c r="F69" s="108"/>
      <c r="G69" s="109"/>
      <c r="H69" s="108"/>
      <c r="I69" s="110">
        <f t="shared" si="42"/>
        <v>0</v>
      </c>
      <c r="J69" s="9"/>
    </row>
    <row r="70" spans="2:10" hidden="1">
      <c r="B70" s="2"/>
      <c r="C70" s="2"/>
      <c r="D70" s="2"/>
      <c r="E70" s="2"/>
      <c r="F70" s="104">
        <v>1</v>
      </c>
      <c r="G70" s="105" t="s">
        <v>117</v>
      </c>
      <c r="H70" s="104"/>
      <c r="I70" s="106">
        <f t="shared" si="42"/>
        <v>0</v>
      </c>
      <c r="J70" s="45" t="s">
        <v>971</v>
      </c>
    </row>
    <row r="71" spans="2:10" hidden="1">
      <c r="B71" s="1"/>
      <c r="C71" s="1"/>
      <c r="D71" s="1"/>
      <c r="E71" s="6"/>
      <c r="F71" s="108"/>
      <c r="G71" s="109"/>
      <c r="H71" s="108"/>
      <c r="I71" s="110">
        <f t="shared" si="42"/>
        <v>0</v>
      </c>
      <c r="J71" s="9"/>
    </row>
    <row r="72" spans="2:10" hidden="1">
      <c r="B72" s="2"/>
      <c r="C72" s="2"/>
      <c r="D72" s="2"/>
      <c r="E72" s="2"/>
      <c r="F72" s="104">
        <v>1</v>
      </c>
      <c r="G72" s="105" t="s">
        <v>117</v>
      </c>
      <c r="H72" s="104"/>
      <c r="I72" s="106">
        <f t="shared" si="42"/>
        <v>0</v>
      </c>
      <c r="J72" s="45" t="s">
        <v>972</v>
      </c>
    </row>
    <row r="73" spans="2:10" hidden="1">
      <c r="B73" s="1"/>
      <c r="C73" s="1"/>
      <c r="D73" s="1"/>
      <c r="E73" s="6"/>
      <c r="F73" s="108"/>
      <c r="G73" s="109"/>
      <c r="H73" s="108"/>
      <c r="I73" s="110">
        <f t="shared" si="42"/>
        <v>0</v>
      </c>
      <c r="J73" s="9"/>
    </row>
    <row r="74" spans="2:10" hidden="1">
      <c r="B74" s="2"/>
      <c r="C74" s="2"/>
      <c r="D74" s="2"/>
      <c r="E74" s="2"/>
      <c r="F74" s="104">
        <v>1</v>
      </c>
      <c r="G74" s="105" t="s">
        <v>117</v>
      </c>
      <c r="H74" s="104"/>
      <c r="I74" s="106">
        <f t="shared" si="42"/>
        <v>0</v>
      </c>
      <c r="J74" s="45" t="s">
        <v>973</v>
      </c>
    </row>
    <row r="75" spans="2:10" hidden="1">
      <c r="B75" s="1"/>
      <c r="C75" s="1"/>
      <c r="D75" s="1"/>
      <c r="E75" s="6"/>
      <c r="F75" s="108"/>
      <c r="G75" s="109"/>
      <c r="H75" s="108"/>
      <c r="I75" s="110">
        <f t="shared" si="42"/>
        <v>0</v>
      </c>
      <c r="J75" s="9"/>
    </row>
    <row r="76" spans="2:10" hidden="1">
      <c r="B76" s="2"/>
      <c r="C76" s="2"/>
      <c r="D76" s="2"/>
      <c r="E76" s="2"/>
      <c r="F76" s="104">
        <v>1</v>
      </c>
      <c r="G76" s="105" t="s">
        <v>117</v>
      </c>
      <c r="H76" s="104"/>
      <c r="I76" s="106">
        <f t="shared" si="42"/>
        <v>0</v>
      </c>
      <c r="J76" s="45" t="s">
        <v>974</v>
      </c>
    </row>
    <row r="77" spans="2:10" hidden="1">
      <c r="B77" s="1"/>
      <c r="C77" s="1"/>
      <c r="D77" s="1"/>
      <c r="E77" s="6"/>
      <c r="F77" s="108"/>
      <c r="G77" s="109"/>
      <c r="H77" s="108"/>
      <c r="I77" s="110">
        <f t="shared" si="42"/>
        <v>0</v>
      </c>
      <c r="J77" s="9"/>
    </row>
    <row r="78" spans="2:10" hidden="1">
      <c r="B78" s="2"/>
      <c r="C78" s="2"/>
      <c r="D78" s="2"/>
      <c r="E78" s="2"/>
      <c r="F78" s="104">
        <v>1</v>
      </c>
      <c r="G78" s="105" t="s">
        <v>117</v>
      </c>
      <c r="H78" s="104"/>
      <c r="I78" s="106">
        <f t="shared" si="42"/>
        <v>0</v>
      </c>
      <c r="J78" s="45" t="s">
        <v>974</v>
      </c>
    </row>
    <row r="79" spans="2:10" hidden="1">
      <c r="B79" s="1"/>
      <c r="C79" s="1"/>
      <c r="D79" s="1"/>
      <c r="E79" s="6"/>
      <c r="F79" s="108"/>
      <c r="G79" s="109"/>
      <c r="H79" s="108"/>
      <c r="I79" s="110">
        <f t="shared" si="42"/>
        <v>0</v>
      </c>
      <c r="J79" s="9"/>
    </row>
    <row r="80" spans="2:10" hidden="1">
      <c r="B80" s="2"/>
      <c r="C80" s="2"/>
      <c r="D80" s="2"/>
      <c r="E80" s="2" t="s">
        <v>125</v>
      </c>
      <c r="F80" s="104"/>
      <c r="G80" s="105" t="s">
        <v>117</v>
      </c>
      <c r="H80" s="104"/>
      <c r="I80" s="106">
        <f t="shared" si="42"/>
        <v>0</v>
      </c>
      <c r="J80" s="45" t="s">
        <v>969</v>
      </c>
    </row>
    <row r="81" spans="2:10" hidden="1">
      <c r="B81" s="1"/>
      <c r="C81" s="1"/>
      <c r="D81" s="1"/>
      <c r="E81" s="6"/>
      <c r="F81" s="108"/>
      <c r="G81" s="109"/>
      <c r="H81" s="108"/>
      <c r="I81" s="110">
        <f t="shared" si="42"/>
        <v>0</v>
      </c>
      <c r="J81" s="9"/>
    </row>
    <row r="82" spans="2:10">
      <c r="B82" s="2"/>
      <c r="C82" s="2"/>
      <c r="D82" s="2"/>
      <c r="E82" s="2" t="s">
        <v>126</v>
      </c>
      <c r="F82" s="4"/>
      <c r="G82" s="105"/>
      <c r="H82" s="4"/>
      <c r="I82" s="4">
        <f>+SUM(I64,I66,I80)</f>
        <v>0</v>
      </c>
      <c r="J82" s="45"/>
    </row>
    <row r="83" spans="2:10">
      <c r="B83" s="1"/>
      <c r="C83" s="1"/>
      <c r="D83" s="1"/>
      <c r="E83" s="6"/>
      <c r="F83" s="5"/>
      <c r="G83" s="109"/>
      <c r="H83" s="5"/>
      <c r="I83" s="5">
        <f>+SUM(I65,I67,I81)</f>
        <v>0</v>
      </c>
      <c r="J83" s="9"/>
    </row>
    <row r="84" spans="2:10">
      <c r="B84" s="2"/>
      <c r="C84" s="2"/>
      <c r="D84" s="2"/>
      <c r="E84" s="2" t="s">
        <v>127</v>
      </c>
      <c r="F84" s="114">
        <f>+K139</f>
        <v>39.81</v>
      </c>
      <c r="G84" s="105" t="s">
        <v>968</v>
      </c>
      <c r="H84" s="4">
        <f>+D136</f>
        <v>0</v>
      </c>
      <c r="I84" s="106">
        <f>+IF(H84&gt;0,INT(H84*F84%/1000)*1000,0)</f>
        <v>0</v>
      </c>
      <c r="J84" s="45" t="s">
        <v>124</v>
      </c>
    </row>
    <row r="85" spans="2:10">
      <c r="B85" s="1"/>
      <c r="C85" s="1"/>
      <c r="D85" s="1"/>
      <c r="E85" s="6"/>
      <c r="F85" s="115">
        <f>+K140</f>
        <v>0</v>
      </c>
      <c r="G85" s="109"/>
      <c r="H85" s="5">
        <f>+D137</f>
        <v>0</v>
      </c>
      <c r="I85" s="110">
        <f>+IF(H85&gt;0,INT(H85*F85%/1000)*1000,0)</f>
        <v>0</v>
      </c>
      <c r="J85" s="9"/>
    </row>
    <row r="86" spans="2:10">
      <c r="B86" s="2"/>
      <c r="C86" s="2"/>
      <c r="D86" s="2"/>
      <c r="E86" s="2" t="s">
        <v>129</v>
      </c>
      <c r="F86" s="4"/>
      <c r="G86" s="105"/>
      <c r="H86" s="4"/>
      <c r="I86" s="4">
        <f>+I84</f>
        <v>0</v>
      </c>
      <c r="J86" s="45"/>
    </row>
    <row r="87" spans="2:10">
      <c r="B87" s="1"/>
      <c r="C87" s="1"/>
      <c r="D87" s="1"/>
      <c r="E87" s="6"/>
      <c r="F87" s="5"/>
      <c r="G87" s="109"/>
      <c r="H87" s="5"/>
      <c r="I87" s="5">
        <f>+I85</f>
        <v>0</v>
      </c>
      <c r="J87" s="9"/>
    </row>
    <row r="88" spans="2:10">
      <c r="B88" s="2"/>
      <c r="C88" s="2"/>
      <c r="D88" s="2"/>
      <c r="E88" s="2" t="s">
        <v>218</v>
      </c>
      <c r="F88" s="114">
        <f>+K156</f>
        <v>18.22</v>
      </c>
      <c r="G88" s="105" t="s">
        <v>968</v>
      </c>
      <c r="H88" s="4">
        <f>+D153</f>
        <v>0</v>
      </c>
      <c r="I88" s="106">
        <f>+IF(H88&gt;0,INT(H88*F88%),0)</f>
        <v>0</v>
      </c>
      <c r="J88" s="45"/>
    </row>
    <row r="89" spans="2:10">
      <c r="B89" s="1"/>
      <c r="C89" s="1"/>
      <c r="D89" s="1"/>
      <c r="E89" s="6"/>
      <c r="F89" s="115">
        <f>+K157</f>
        <v>0</v>
      </c>
      <c r="G89" s="109"/>
      <c r="H89" s="5">
        <f>+D154</f>
        <v>0</v>
      </c>
      <c r="I89" s="110">
        <f>+IF(H89&gt;0,INT(H89*F89%),0)</f>
        <v>0</v>
      </c>
      <c r="J89" s="116"/>
    </row>
    <row r="90" spans="2:10">
      <c r="B90" s="2"/>
      <c r="C90" s="2"/>
      <c r="D90" s="2"/>
      <c r="E90" s="2" t="s">
        <v>219</v>
      </c>
      <c r="F90" s="4"/>
      <c r="G90" s="105"/>
      <c r="H90" s="4"/>
      <c r="I90" s="4">
        <f>+I88</f>
        <v>0</v>
      </c>
      <c r="J90" s="45"/>
    </row>
    <row r="91" spans="2:10">
      <c r="B91" s="1"/>
      <c r="C91" s="1"/>
      <c r="D91" s="1"/>
      <c r="E91" s="6"/>
      <c r="F91" s="5"/>
      <c r="G91" s="109"/>
      <c r="H91" s="5"/>
      <c r="I91" s="5">
        <f>+I89</f>
        <v>0</v>
      </c>
      <c r="J91" s="9"/>
    </row>
    <row r="92" spans="2:10">
      <c r="B92" s="2"/>
      <c r="C92" s="2"/>
      <c r="D92" s="2"/>
      <c r="E92" s="2" t="s">
        <v>118</v>
      </c>
      <c r="F92" s="4"/>
      <c r="G92" s="105"/>
      <c r="H92" s="4"/>
      <c r="I92" s="4">
        <f>+SUM(I82,I86,I90)</f>
        <v>0</v>
      </c>
      <c r="J92" s="45" t="s">
        <v>133</v>
      </c>
    </row>
    <row r="93" spans="2:10">
      <c r="B93" s="1"/>
      <c r="C93" s="1"/>
      <c r="D93" s="1"/>
      <c r="E93" s="6"/>
      <c r="F93" s="5"/>
      <c r="G93" s="109"/>
      <c r="H93" s="5"/>
      <c r="I93" s="5">
        <f>+SUM(I83,I87,I91)</f>
        <v>0</v>
      </c>
      <c r="J93" s="9"/>
    </row>
    <row r="94" spans="2:10">
      <c r="B94" s="2"/>
      <c r="C94" s="2"/>
      <c r="D94" s="2" t="s">
        <v>138</v>
      </c>
      <c r="E94" s="2"/>
      <c r="F94" s="4"/>
      <c r="G94" s="105"/>
      <c r="H94" s="4"/>
      <c r="I94" s="106">
        <f>+I60+I92</f>
        <v>0</v>
      </c>
      <c r="J94" s="45" t="s">
        <v>135</v>
      </c>
    </row>
    <row r="95" spans="2:10">
      <c r="B95" s="1"/>
      <c r="C95" s="1"/>
      <c r="D95" s="1"/>
      <c r="E95" s="6"/>
      <c r="F95" s="5"/>
      <c r="G95" s="109"/>
      <c r="H95" s="5"/>
      <c r="I95" s="110">
        <f>+I61+I93</f>
        <v>0</v>
      </c>
      <c r="J95" s="9"/>
    </row>
    <row r="96" spans="2:10">
      <c r="B96" s="2"/>
      <c r="C96" s="2"/>
      <c r="D96" s="2" t="s">
        <v>140</v>
      </c>
      <c r="E96" s="2"/>
      <c r="F96" s="4"/>
      <c r="G96" s="105"/>
      <c r="H96" s="4"/>
      <c r="I96" s="4"/>
      <c r="J96" s="8"/>
    </row>
    <row r="97" spans="2:12">
      <c r="B97" s="1"/>
      <c r="C97" s="1"/>
      <c r="D97" s="1"/>
      <c r="E97" s="6"/>
      <c r="F97" s="5"/>
      <c r="G97" s="109"/>
      <c r="H97" s="5"/>
      <c r="I97" s="5"/>
      <c r="J97" s="9"/>
    </row>
    <row r="98" spans="2:12">
      <c r="B98" s="2"/>
      <c r="C98" s="2"/>
      <c r="D98" s="2"/>
      <c r="E98" s="2" t="s">
        <v>141</v>
      </c>
      <c r="F98" s="114">
        <f>+L192</f>
        <v>23.57</v>
      </c>
      <c r="G98" s="105" t="s">
        <v>978</v>
      </c>
      <c r="H98" s="4">
        <f>+I94</f>
        <v>0</v>
      </c>
      <c r="I98" s="4">
        <f>+L98-L104</f>
        <v>0</v>
      </c>
      <c r="J98" s="7" t="str">
        <f>+"（"&amp;FIXED(L98,0)&amp;"）"</f>
        <v>（0）</v>
      </c>
      <c r="L98" s="117">
        <f>+ROUND(H98*F98%,0)</f>
        <v>0</v>
      </c>
    </row>
    <row r="99" spans="2:12">
      <c r="B99" s="1"/>
      <c r="C99" s="1"/>
      <c r="D99" s="1"/>
      <c r="E99" s="6"/>
      <c r="F99" s="115">
        <f>+L193</f>
        <v>0</v>
      </c>
      <c r="G99" s="109"/>
      <c r="H99" s="5">
        <f>+I95</f>
        <v>0</v>
      </c>
      <c r="I99" s="5">
        <f>+L99-L105</f>
        <v>0</v>
      </c>
      <c r="J99" s="118" t="str">
        <f>+IF(H99&gt;0,"（"&amp;FIXED(L99,0)&amp;"）","")</f>
        <v/>
      </c>
      <c r="L99" s="117">
        <f>+ROUND(H99*F99%,0)</f>
        <v>0</v>
      </c>
    </row>
    <row r="100" spans="2:12">
      <c r="B100" s="2"/>
      <c r="C100" s="2"/>
      <c r="D100" s="2"/>
      <c r="E100" s="2" t="s">
        <v>142</v>
      </c>
      <c r="F100" s="114">
        <f>+IF(H100&gt;0,0.04,0)</f>
        <v>0</v>
      </c>
      <c r="G100" s="105" t="s">
        <v>968</v>
      </c>
      <c r="H100" s="4">
        <f>+I94</f>
        <v>0</v>
      </c>
      <c r="I100" s="4">
        <f>+INT(H100*F100%)</f>
        <v>0</v>
      </c>
      <c r="J100" s="8" t="s">
        <v>143</v>
      </c>
    </row>
    <row r="101" spans="2:12">
      <c r="B101" s="1"/>
      <c r="C101" s="1"/>
      <c r="D101" s="1"/>
      <c r="E101" s="6"/>
      <c r="F101" s="115">
        <f>+IF(H101&gt;0,0.04,0)</f>
        <v>0</v>
      </c>
      <c r="G101" s="109"/>
      <c r="H101" s="5">
        <f>+I95</f>
        <v>0</v>
      </c>
      <c r="I101" s="5">
        <f>+IF(H101&gt;0,I100,0)</f>
        <v>0</v>
      </c>
      <c r="J101" s="9"/>
    </row>
    <row r="102" spans="2:12">
      <c r="B102" s="2"/>
      <c r="C102" s="2"/>
      <c r="D102" s="2"/>
      <c r="E102" s="2" t="s">
        <v>11</v>
      </c>
      <c r="F102" s="4">
        <v>1</v>
      </c>
      <c r="G102" s="105" t="s">
        <v>117</v>
      </c>
      <c r="H102" s="4"/>
      <c r="I102" s="4">
        <f>+I98+I100</f>
        <v>0</v>
      </c>
      <c r="J102" s="8" t="s">
        <v>144</v>
      </c>
      <c r="L102" s="117">
        <f>I34+I94+L98+I100</f>
        <v>0</v>
      </c>
    </row>
    <row r="103" spans="2:12">
      <c r="B103" s="1"/>
      <c r="C103" s="1"/>
      <c r="D103" s="1"/>
      <c r="E103" s="6"/>
      <c r="F103" s="5"/>
      <c r="G103" s="109"/>
      <c r="H103" s="5"/>
      <c r="I103" s="5">
        <f>+I99+I101</f>
        <v>0</v>
      </c>
      <c r="J103" s="9"/>
      <c r="L103" s="117">
        <f>I35+I95+L99+I101</f>
        <v>0</v>
      </c>
    </row>
    <row r="104" spans="2:12">
      <c r="B104" s="2"/>
      <c r="C104" s="2" t="s">
        <v>145</v>
      </c>
      <c r="D104" s="2"/>
      <c r="E104" s="2"/>
      <c r="F104" s="4"/>
      <c r="G104" s="105"/>
      <c r="H104" s="4"/>
      <c r="I104" s="106">
        <f>+INT(L102/1000)*1000</f>
        <v>0</v>
      </c>
      <c r="J104" s="45" t="s">
        <v>220</v>
      </c>
      <c r="L104" s="117">
        <f>+L102-I104</f>
        <v>0</v>
      </c>
    </row>
    <row r="105" spans="2:12">
      <c r="B105" s="1"/>
      <c r="C105" s="1"/>
      <c r="D105" s="1"/>
      <c r="E105" s="6"/>
      <c r="F105" s="5"/>
      <c r="G105" s="109"/>
      <c r="H105" s="5"/>
      <c r="I105" s="110">
        <f>+INT(L103/1000)*1000</f>
        <v>0</v>
      </c>
      <c r="J105" s="9"/>
      <c r="L105" s="117">
        <f>+L103-I105</f>
        <v>0</v>
      </c>
    </row>
    <row r="106" spans="2:12">
      <c r="B106" s="2"/>
      <c r="C106" s="2"/>
      <c r="D106" s="2"/>
      <c r="E106" s="2"/>
      <c r="F106" s="4"/>
      <c r="G106" s="105"/>
      <c r="H106" s="4"/>
      <c r="I106" s="4"/>
      <c r="J106" s="45"/>
    </row>
    <row r="107" spans="2:12">
      <c r="B107" s="1"/>
      <c r="C107" s="1"/>
      <c r="D107" s="1"/>
      <c r="E107" s="6"/>
      <c r="F107" s="5"/>
      <c r="G107" s="109"/>
      <c r="H107" s="5"/>
      <c r="I107" s="5"/>
      <c r="J107" s="9"/>
    </row>
    <row r="108" spans="2:12">
      <c r="B108" s="16"/>
      <c r="C108" s="17"/>
      <c r="D108" s="17"/>
      <c r="E108" s="17"/>
      <c r="F108" s="17"/>
      <c r="G108" s="17"/>
      <c r="H108" s="17"/>
      <c r="I108" s="17"/>
      <c r="J108" s="18"/>
    </row>
    <row r="109" spans="2:12">
      <c r="B109" s="119" t="s">
        <v>147</v>
      </c>
      <c r="J109" s="120" t="s">
        <v>938</v>
      </c>
    </row>
    <row r="110" spans="2:12">
      <c r="B110" s="119"/>
      <c r="J110" s="120" t="s">
        <v>821</v>
      </c>
    </row>
    <row r="111" spans="2:12">
      <c r="B111" s="119" t="s">
        <v>221</v>
      </c>
      <c r="J111" s="120" t="s">
        <v>939</v>
      </c>
    </row>
    <row r="112" spans="2:12">
      <c r="B112" s="119"/>
      <c r="C112" t="s">
        <v>998</v>
      </c>
      <c r="J112" s="121"/>
    </row>
    <row r="113" spans="2:15">
      <c r="B113" s="119"/>
      <c r="C113" t="s">
        <v>150</v>
      </c>
      <c r="J113" s="121"/>
    </row>
    <row r="114" spans="2:15">
      <c r="B114" s="119"/>
      <c r="C114" t="s">
        <v>223</v>
      </c>
      <c r="J114" s="121"/>
    </row>
    <row r="115" spans="2:15">
      <c r="B115" s="119"/>
      <c r="C115" t="s">
        <v>152</v>
      </c>
      <c r="J115" s="121"/>
    </row>
    <row r="116" spans="2:15">
      <c r="B116" s="119"/>
      <c r="D116" t="s">
        <v>224</v>
      </c>
      <c r="F116" s="122">
        <v>18.7</v>
      </c>
      <c r="G116" t="s">
        <v>980</v>
      </c>
      <c r="J116" s="121"/>
    </row>
    <row r="117" spans="2:15">
      <c r="B117" s="119"/>
      <c r="D117" t="s">
        <v>172</v>
      </c>
      <c r="F117" s="122">
        <v>5.98</v>
      </c>
      <c r="G117" t="s">
        <v>986</v>
      </c>
      <c r="J117" s="121"/>
    </row>
    <row r="118" spans="2:15">
      <c r="B118" s="119"/>
      <c r="J118" s="121"/>
    </row>
    <row r="119" spans="2:15">
      <c r="B119" s="119"/>
      <c r="C119" s="82" t="s">
        <v>987</v>
      </c>
      <c r="D119" s="36">
        <f>+I60</f>
        <v>0</v>
      </c>
      <c r="E119" t="s">
        <v>157</v>
      </c>
      <c r="J119" s="121"/>
    </row>
    <row r="120" spans="2:15">
      <c r="B120" s="119"/>
      <c r="D120" s="36">
        <f>+I61</f>
        <v>0</v>
      </c>
      <c r="J120" s="121"/>
    </row>
    <row r="121" spans="2:15">
      <c r="B121" s="119"/>
      <c r="J121" s="121"/>
      <c r="L121" s="50" t="s">
        <v>982</v>
      </c>
      <c r="M121" s="50" t="s">
        <v>999</v>
      </c>
      <c r="N121" s="50" t="s">
        <v>984</v>
      </c>
    </row>
    <row r="122" spans="2:15">
      <c r="B122" s="119"/>
      <c r="C122" s="82" t="s">
        <v>1000</v>
      </c>
      <c r="D122" t="str">
        <f>+IF(O122=1,FIXED(K122,2)&amp;" %",IF(O122=2,"349.9×"&amp;FIXED(D119,0)&amp;" ^-0.1964　＝　"&amp;FIXED(K122,2)&amp;" %",IF(O122=3,FIXED(K122,2),0)))</f>
        <v>18.70 %</v>
      </c>
      <c r="J122" s="121"/>
      <c r="K122">
        <f>+SUM(L122:N122)</f>
        <v>18.7</v>
      </c>
      <c r="L122">
        <f>+IF(D119&lt;=3000000,F116,0)</f>
        <v>18.7</v>
      </c>
      <c r="M122">
        <f>+IF(AND(D119&gt;=3000000,D119&lt;1000000000),ROUND(349.9*D119^-0.1964,2),0)</f>
        <v>0</v>
      </c>
      <c r="N122">
        <f>+IF(D119&gt;1000000000,F117,0)</f>
        <v>0</v>
      </c>
      <c r="O122">
        <f>+IF(L122&gt;0,1,IF(M122&gt;0,2,IF(N122&gt;0,3,0)))</f>
        <v>1</v>
      </c>
    </row>
    <row r="123" spans="2:15">
      <c r="B123" s="119"/>
      <c r="D123">
        <f>+IF(O123=1,FIXED(K123,2)&amp;" %",IF(O123=2,"349.9×"&amp;FIXED(D120,0)&amp;" ^-0.1964　＝　"&amp;FIXED(K123,2)&amp;" %",IF(O123=3,FIXED(K123,2),0)))</f>
        <v>0</v>
      </c>
      <c r="J123" s="121"/>
      <c r="K123">
        <f>+SUM(L123:N123)</f>
        <v>0</v>
      </c>
      <c r="L123">
        <f>+IF(D120&gt;0,IF(D120&lt;=3000000,F116,0),0)</f>
        <v>0</v>
      </c>
      <c r="M123">
        <f>+IF(AND(D120&gt;=1000000,D120&lt;500000000),ROUND(349.9*D120^-0.1964,2),0)</f>
        <v>0</v>
      </c>
      <c r="N123">
        <f>+IF(D120&gt;0,IF(D120&gt;1000000000,F117,0),0)</f>
        <v>0</v>
      </c>
      <c r="O123">
        <f>+IF(L123&gt;0,1,IF(M123&gt;0,2,IF(N123&gt;0,3,0)))</f>
        <v>0</v>
      </c>
    </row>
    <row r="124" spans="2:15">
      <c r="B124" s="119"/>
      <c r="J124" s="121"/>
    </row>
    <row r="125" spans="2:15">
      <c r="B125" s="119"/>
      <c r="J125" s="121"/>
    </row>
    <row r="126" spans="2:15">
      <c r="B126" s="119" t="s">
        <v>162</v>
      </c>
      <c r="J126" s="120" t="s">
        <v>938</v>
      </c>
    </row>
    <row r="127" spans="2:15">
      <c r="B127" s="119"/>
      <c r="J127" s="120" t="s">
        <v>940</v>
      </c>
    </row>
    <row r="128" spans="2:15">
      <c r="B128" s="119" t="s">
        <v>225</v>
      </c>
      <c r="J128" s="120" t="s">
        <v>822</v>
      </c>
    </row>
    <row r="129" spans="2:15">
      <c r="B129" s="119"/>
      <c r="C129" t="s">
        <v>1001</v>
      </c>
      <c r="J129" s="121"/>
    </row>
    <row r="130" spans="2:15">
      <c r="B130" s="119"/>
      <c r="C130" t="s">
        <v>164</v>
      </c>
      <c r="J130" s="121"/>
    </row>
    <row r="131" spans="2:15">
      <c r="B131" s="119"/>
      <c r="C131" t="s">
        <v>227</v>
      </c>
      <c r="J131" s="121"/>
    </row>
    <row r="132" spans="2:15">
      <c r="B132" s="119"/>
      <c r="C132" t="s">
        <v>152</v>
      </c>
      <c r="J132" s="121"/>
    </row>
    <row r="133" spans="2:15">
      <c r="B133" s="119"/>
      <c r="D133" t="s">
        <v>224</v>
      </c>
      <c r="F133">
        <v>39.81</v>
      </c>
      <c r="G133" t="s">
        <v>986</v>
      </c>
      <c r="J133" s="121"/>
    </row>
    <row r="134" spans="2:15">
      <c r="B134" s="119"/>
      <c r="D134" t="s">
        <v>172</v>
      </c>
      <c r="F134">
        <v>20.57</v>
      </c>
      <c r="G134" t="s">
        <v>980</v>
      </c>
      <c r="J134" s="121"/>
    </row>
    <row r="135" spans="2:15">
      <c r="B135" s="119"/>
      <c r="J135" s="121"/>
    </row>
    <row r="136" spans="2:15">
      <c r="B136" s="119"/>
      <c r="C136" s="82" t="s">
        <v>987</v>
      </c>
      <c r="D136" s="36">
        <f>+I60+I82</f>
        <v>0</v>
      </c>
      <c r="E136" t="s">
        <v>157</v>
      </c>
      <c r="J136" s="121"/>
    </row>
    <row r="137" spans="2:15">
      <c r="B137" s="119"/>
      <c r="D137" s="36">
        <f>+I61+I83</f>
        <v>0</v>
      </c>
      <c r="J137" s="121"/>
    </row>
    <row r="138" spans="2:15">
      <c r="B138" s="119"/>
      <c r="J138" s="121"/>
      <c r="L138" s="50" t="s">
        <v>1002</v>
      </c>
      <c r="M138" s="50" t="s">
        <v>1003</v>
      </c>
      <c r="N138" s="50" t="s">
        <v>984</v>
      </c>
    </row>
    <row r="139" spans="2:15">
      <c r="B139" s="119"/>
      <c r="C139" s="82" t="s">
        <v>985</v>
      </c>
      <c r="D139" t="str">
        <f>+IF(O139=1,FIXED(K139,2)&amp;" %",IF(O139=2,"217.0×"&amp;FIXED(D136,0)&amp;" ^-0.1137　＝　"&amp;FIXED(K139,2)&amp;" %",IF(O139=3,FIXED(K139,2),0)))</f>
        <v>39.81 %</v>
      </c>
      <c r="J139" s="121"/>
      <c r="K139">
        <f>+SUM(L139:N139)</f>
        <v>39.81</v>
      </c>
      <c r="L139">
        <f>+IF(D136&lt;=3000000,F133,0)</f>
        <v>39.81</v>
      </c>
      <c r="M139">
        <f>+IF(AND(D136&gt;=3000000,D136&lt;1000000000),ROUND(217*D136^-0.1137,2),0)</f>
        <v>0</v>
      </c>
      <c r="N139">
        <f>+IF(D136&gt;1000000000,F134,0)</f>
        <v>0</v>
      </c>
      <c r="O139">
        <f>+IF(L139&gt;0,1,IF(M139&gt;0,2,IF(N139&gt;0,3,0)))</f>
        <v>1</v>
      </c>
    </row>
    <row r="140" spans="2:15">
      <c r="B140" s="119"/>
      <c r="D140">
        <f>+IF(O140=1,FIXED(K140,2)&amp;" %",IF(O140=2,"217.0×"&amp;FIXED(D137,0)&amp;" ^-0.1137　＝　"&amp;FIXED(K140,2)&amp;" %",IF(O140=3,FIXED(K140,2),0)))</f>
        <v>0</v>
      </c>
      <c r="J140" s="121"/>
      <c r="K140">
        <f>+SUM(L140:N140)</f>
        <v>0</v>
      </c>
      <c r="L140">
        <f>+IF(D137&gt;0,IF(D137&lt;=3000000,F133,0),0)</f>
        <v>0</v>
      </c>
      <c r="M140">
        <f>+IF(AND(D137&gt;=3000000,D137&lt;1000000000),ROUND(217*D137^-0.1137,2),0)</f>
        <v>0</v>
      </c>
      <c r="N140">
        <f>+IF(D137&gt;0,IF(D137&gt;1000000000,F134,0),0)</f>
        <v>0</v>
      </c>
      <c r="O140">
        <f>+IF(L140&gt;0,1,IF(M140&gt;0,2,IF(N140&gt;0,3,0)))</f>
        <v>0</v>
      </c>
    </row>
    <row r="141" spans="2:15">
      <c r="B141" s="119"/>
      <c r="J141" s="121"/>
    </row>
    <row r="142" spans="2:15">
      <c r="B142" s="119"/>
      <c r="J142" s="121"/>
    </row>
    <row r="143" spans="2:15">
      <c r="B143" s="119" t="s">
        <v>228</v>
      </c>
      <c r="J143" s="120"/>
    </row>
    <row r="144" spans="2:15">
      <c r="B144" s="119"/>
      <c r="J144" s="120" t="s">
        <v>821</v>
      </c>
    </row>
    <row r="145" spans="2:15">
      <c r="B145" s="119" t="s">
        <v>229</v>
      </c>
      <c r="J145" s="121"/>
    </row>
    <row r="146" spans="2:15">
      <c r="B146" s="119"/>
      <c r="C146" t="s">
        <v>1004</v>
      </c>
      <c r="J146" s="121"/>
    </row>
    <row r="147" spans="2:15">
      <c r="B147" s="119"/>
      <c r="C147" t="s">
        <v>231</v>
      </c>
      <c r="J147" s="121"/>
    </row>
    <row r="148" spans="2:15">
      <c r="B148" s="119"/>
      <c r="C148" t="s">
        <v>232</v>
      </c>
      <c r="J148" s="121"/>
    </row>
    <row r="149" spans="2:15">
      <c r="B149" s="119"/>
      <c r="C149" t="s">
        <v>152</v>
      </c>
      <c r="J149" s="121"/>
    </row>
    <row r="150" spans="2:15">
      <c r="B150" s="119"/>
      <c r="D150" t="s">
        <v>233</v>
      </c>
      <c r="F150">
        <v>18.22</v>
      </c>
      <c r="G150" t="s">
        <v>986</v>
      </c>
      <c r="J150" s="121"/>
    </row>
    <row r="151" spans="2:15">
      <c r="B151" s="119"/>
      <c r="D151" t="s">
        <v>234</v>
      </c>
      <c r="F151">
        <v>5.21</v>
      </c>
      <c r="G151" t="s">
        <v>1005</v>
      </c>
      <c r="J151" s="121"/>
    </row>
    <row r="152" spans="2:15">
      <c r="B152" s="119"/>
      <c r="J152" s="121"/>
    </row>
    <row r="153" spans="2:15">
      <c r="B153" s="119"/>
      <c r="C153" s="82" t="s">
        <v>987</v>
      </c>
      <c r="D153" s="36">
        <f>+I34</f>
        <v>0</v>
      </c>
      <c r="E153" t="s">
        <v>157</v>
      </c>
      <c r="J153" s="121"/>
    </row>
    <row r="154" spans="2:15">
      <c r="B154" s="119"/>
      <c r="D154" s="36">
        <f>+I35</f>
        <v>0</v>
      </c>
      <c r="J154" s="121"/>
    </row>
    <row r="155" spans="2:15">
      <c r="B155" s="119"/>
      <c r="J155" s="121"/>
      <c r="L155" s="50" t="s">
        <v>982</v>
      </c>
      <c r="M155" s="50" t="s">
        <v>983</v>
      </c>
      <c r="N155" s="50" t="s">
        <v>992</v>
      </c>
    </row>
    <row r="156" spans="2:15">
      <c r="B156" s="119"/>
      <c r="C156" s="82" t="s">
        <v>1000</v>
      </c>
      <c r="D156" t="str">
        <f>+IF(O156=1,FIXED(K156,2)&amp;" %",IF(O156=2,"42380.2×"&amp;FIXED(D153,0)&amp;" ^-0.4711　＝　"&amp;FIXED(K156,2)&amp;" %",IF(O156=3,FIXED(K156,2),0)))</f>
        <v>18.22 %</v>
      </c>
      <c r="J156" s="121"/>
      <c r="K156">
        <f>+SUM(L156:N156)</f>
        <v>18.22</v>
      </c>
      <c r="L156">
        <f>+IF(D153&lt;=14000000,F150,0)</f>
        <v>18.22</v>
      </c>
      <c r="M156">
        <f>+IF(AND(D153&gt;=14000000,D153&lt;200000000),ROUND(42380.2*D153^-0.4711,2),0)</f>
        <v>0</v>
      </c>
      <c r="N156">
        <f>+IF(D153&gt;200000000,F151,0)</f>
        <v>0</v>
      </c>
      <c r="O156">
        <f>+IF(L156&gt;0,1,IF(M156&gt;0,2,IF(N156&gt;0,3,0)))</f>
        <v>1</v>
      </c>
    </row>
    <row r="157" spans="2:15">
      <c r="B157" s="119"/>
      <c r="D157">
        <f>+IF(O157=1,FIXED(K157,2)&amp;" %",IF(O157=2,"42380.2×"&amp;FIXED(D154,0)&amp;" ^-0.4711　＝　"&amp;FIXED(K157,2)&amp;" %",IF(O157=3,FIXED(K157,2),0)))</f>
        <v>0</v>
      </c>
      <c r="J157" s="121"/>
      <c r="K157">
        <f>+SUM(L157:N157)</f>
        <v>0</v>
      </c>
      <c r="L157">
        <f>+IF(D154&gt;0,IF(D154&lt;=14000000,F150,0),0)</f>
        <v>0</v>
      </c>
      <c r="M157">
        <f>+IF(AND(D154&gt;=14000000,D154&lt;200000000),ROUND(42380.2*D154^-0.4711,2),0)</f>
        <v>0</v>
      </c>
      <c r="N157">
        <f>+IF(D154&gt;0,IF(D154&gt;200000000,F151,0),0)</f>
        <v>0</v>
      </c>
      <c r="O157">
        <f>+IF(L157&gt;0,1,IF(M157&gt;0,2,IF(N157&gt;0,3,0)))</f>
        <v>0</v>
      </c>
    </row>
    <row r="158" spans="2:15">
      <c r="B158" s="119"/>
      <c r="J158" s="121"/>
    </row>
    <row r="159" spans="2:15">
      <c r="B159" s="119"/>
      <c r="J159" s="121"/>
    </row>
    <row r="160" spans="2:15">
      <c r="B160" s="119"/>
      <c r="J160" s="121"/>
    </row>
    <row r="161" spans="2:10">
      <c r="B161" s="119"/>
      <c r="J161" s="121"/>
    </row>
    <row r="162" spans="2:10">
      <c r="B162" s="119"/>
      <c r="J162" s="121"/>
    </row>
    <row r="163" spans="2:10">
      <c r="B163" s="119"/>
      <c r="J163" s="121"/>
    </row>
    <row r="164" spans="2:10">
      <c r="B164" s="119"/>
      <c r="J164" s="121"/>
    </row>
    <row r="165" spans="2:10">
      <c r="B165" s="19"/>
      <c r="C165" s="20"/>
      <c r="D165" s="20"/>
      <c r="E165" s="20"/>
      <c r="F165" s="20"/>
      <c r="G165" s="20"/>
      <c r="H165" s="20"/>
      <c r="I165" s="20"/>
      <c r="J165" s="21"/>
    </row>
    <row r="166" spans="2:10">
      <c r="B166" s="16"/>
      <c r="J166" s="121"/>
    </row>
    <row r="167" spans="2:10">
      <c r="B167" s="119" t="s">
        <v>173</v>
      </c>
      <c r="J167" s="120" t="s">
        <v>938</v>
      </c>
    </row>
    <row r="168" spans="2:10">
      <c r="B168" s="119"/>
      <c r="J168" s="120" t="s">
        <v>941</v>
      </c>
    </row>
    <row r="169" spans="2:10">
      <c r="B169" s="119" t="s">
        <v>235</v>
      </c>
      <c r="J169" s="120" t="s">
        <v>942</v>
      </c>
    </row>
    <row r="170" spans="2:10">
      <c r="B170" s="119"/>
      <c r="C170" t="s">
        <v>865</v>
      </c>
      <c r="J170" s="121"/>
    </row>
    <row r="171" spans="2:10">
      <c r="B171" s="119"/>
      <c r="C171" t="s">
        <v>236</v>
      </c>
      <c r="J171" s="121"/>
    </row>
    <row r="172" spans="2:10">
      <c r="B172" s="119"/>
      <c r="C172" t="s">
        <v>176</v>
      </c>
      <c r="J172" s="121"/>
    </row>
    <row r="173" spans="2:10">
      <c r="B173" s="119"/>
      <c r="C173" t="s">
        <v>152</v>
      </c>
      <c r="J173" s="121"/>
    </row>
    <row r="174" spans="2:10">
      <c r="B174" s="119"/>
      <c r="D174" t="s">
        <v>171</v>
      </c>
      <c r="F174" s="122">
        <v>23.57</v>
      </c>
      <c r="G174" t="s">
        <v>991</v>
      </c>
      <c r="J174" s="121"/>
    </row>
    <row r="175" spans="2:10">
      <c r="B175" s="119"/>
      <c r="D175" t="s">
        <v>177</v>
      </c>
      <c r="F175" s="122">
        <v>9.74</v>
      </c>
      <c r="G175" t="s">
        <v>986</v>
      </c>
      <c r="J175" s="121"/>
    </row>
    <row r="176" spans="2:10">
      <c r="B176" s="119"/>
      <c r="J176" s="121"/>
    </row>
    <row r="177" spans="2:15">
      <c r="B177" s="119"/>
      <c r="C177" s="82" t="s">
        <v>987</v>
      </c>
      <c r="D177" s="36">
        <f>+I94</f>
        <v>0</v>
      </c>
      <c r="E177" t="s">
        <v>157</v>
      </c>
      <c r="J177" s="121"/>
    </row>
    <row r="178" spans="2:15">
      <c r="B178" s="119"/>
      <c r="D178" s="36">
        <f>+I95</f>
        <v>0</v>
      </c>
      <c r="J178" s="121"/>
    </row>
    <row r="179" spans="2:15">
      <c r="B179" s="119"/>
      <c r="J179" s="121"/>
      <c r="L179" s="50" t="s">
        <v>982</v>
      </c>
      <c r="M179" s="50" t="s">
        <v>983</v>
      </c>
      <c r="N179" s="50" t="s">
        <v>984</v>
      </c>
    </row>
    <row r="180" spans="2:15">
      <c r="B180" s="119"/>
      <c r="C180" s="82" t="s">
        <v>985</v>
      </c>
      <c r="D180" t="str">
        <f>+IF(O180=1,FIXED(K180,2)&amp;" %",IF(O180=2,"-4.97802×Log("&amp;FIXED(D177,0)&amp;"）+56.92101　＝　"&amp;FIXED(K180,2)&amp;" %",IF(O180=3,FIXED(K180,2),0)))</f>
        <v>23.57 %</v>
      </c>
      <c r="J180" s="121"/>
      <c r="K180">
        <f>+SUM(L180:N180)</f>
        <v>23.57</v>
      </c>
      <c r="L180">
        <f>+IF(D177&lt;=5000000,F174,0)</f>
        <v>23.57</v>
      </c>
      <c r="M180">
        <f>+IF(AND(D177&gt;=5000000,D177&lt;3000000000),ROUND(-5.48972*LOG(D177)+59.4977,2),0)</f>
        <v>0</v>
      </c>
      <c r="N180">
        <f>+IF(D177&gt;3000000000,F175,0)</f>
        <v>0</v>
      </c>
      <c r="O180">
        <f>+IF(L180&gt;0,1,IF(M180&gt;0,2,IF(N180&gt;0,3,0)))</f>
        <v>1</v>
      </c>
    </row>
    <row r="181" spans="2:15">
      <c r="B181" s="119"/>
      <c r="D181">
        <f>+IF(O181=1,FIXED(K181,2)&amp;" %",IF(O181=2,"-5.48972×Log("&amp;FIXED(D178,0)&amp;"）+59.4977　＝　"&amp;FIXED(K181,2)&amp;" %",IF(O181=3,FIXED(K181,2),0)))</f>
        <v>0</v>
      </c>
      <c r="J181" s="121"/>
      <c r="K181">
        <f>+SUM(L181:N181)</f>
        <v>0</v>
      </c>
      <c r="L181">
        <f>+IF(D178&gt;0,IF(D178&lt;=5000000,F174,0),0)</f>
        <v>0</v>
      </c>
      <c r="M181">
        <f>+IF(AND(D178&gt;=5000000,D178&lt;3000000000),ROUND(-5.48972*LOG(D178)+59.4977,2),0)</f>
        <v>0</v>
      </c>
      <c r="N181">
        <f>+IF(D178&gt;0,IF(D178&gt;3000000000,F175,0),0)</f>
        <v>0</v>
      </c>
      <c r="O181">
        <f>+IF(L181&gt;0,1,IF(M181&gt;0,2,IF(N181&gt;0,3,0)))</f>
        <v>0</v>
      </c>
    </row>
    <row r="182" spans="2:15">
      <c r="B182" s="119"/>
      <c r="J182" s="121"/>
    </row>
    <row r="183" spans="2:15">
      <c r="B183" s="119" t="s">
        <v>178</v>
      </c>
      <c r="J183" s="121"/>
      <c r="L183" t="s">
        <v>179</v>
      </c>
      <c r="N183" s="122">
        <v>1.05</v>
      </c>
    </row>
    <row r="184" spans="2:15">
      <c r="B184" s="119"/>
      <c r="E184" s="123" t="s">
        <v>180</v>
      </c>
      <c r="F184" s="124">
        <f>LOOKUP(E184,L183:L187,N183:N187)</f>
        <v>1</v>
      </c>
      <c r="G184" t="s">
        <v>980</v>
      </c>
      <c r="J184" s="121"/>
      <c r="L184" t="s">
        <v>181</v>
      </c>
      <c r="N184" s="122">
        <v>1.04</v>
      </c>
    </row>
    <row r="185" spans="2:15">
      <c r="B185" s="119"/>
      <c r="E185" s="125" t="s">
        <v>180</v>
      </c>
      <c r="F185" s="124">
        <f>LOOKUP(E185,L183:L187,N183:N187)</f>
        <v>1</v>
      </c>
      <c r="J185" s="121"/>
      <c r="L185" t="s">
        <v>182</v>
      </c>
      <c r="N185" s="122">
        <v>1.03</v>
      </c>
    </row>
    <row r="186" spans="2:15">
      <c r="B186" s="119"/>
      <c r="J186" s="121"/>
      <c r="L186" t="s">
        <v>183</v>
      </c>
      <c r="N186" s="122">
        <v>1.01</v>
      </c>
    </row>
    <row r="187" spans="2:15">
      <c r="B187" s="119"/>
      <c r="J187" s="121"/>
      <c r="L187" t="s">
        <v>180</v>
      </c>
      <c r="N187" s="122">
        <v>1</v>
      </c>
    </row>
    <row r="188" spans="2:15">
      <c r="B188" s="119" t="s">
        <v>237</v>
      </c>
      <c r="J188" s="121"/>
    </row>
    <row r="189" spans="2:15">
      <c r="B189" s="119"/>
      <c r="C189" t="s">
        <v>238</v>
      </c>
      <c r="J189" s="121"/>
    </row>
    <row r="190" spans="2:15">
      <c r="B190" s="119"/>
      <c r="C190" t="s">
        <v>192</v>
      </c>
      <c r="J190" s="121"/>
    </row>
    <row r="191" spans="2:15">
      <c r="B191" s="119"/>
      <c r="J191" s="121"/>
    </row>
    <row r="192" spans="2:15">
      <c r="B192" s="119"/>
      <c r="C192" s="82" t="s">
        <v>1006</v>
      </c>
      <c r="D192" t="str">
        <f>+FIXED(K180,2)&amp;" × "&amp;FIXED(F184,2)&amp;" 　＝　"&amp;FIXED(L192,2)&amp;" %"</f>
        <v>23.57 × 1.00 　＝　23.57 %</v>
      </c>
      <c r="J192" s="121"/>
      <c r="L192" s="126">
        <f>+ROUND(K180*F184,2)</f>
        <v>23.57</v>
      </c>
    </row>
    <row r="193" spans="2:12">
      <c r="B193" s="119"/>
      <c r="D193" t="str">
        <f>+IF(D178&gt;0,FIXED(K181,2)&amp;" × "&amp;FIXED(F185,2)&amp;" 　＝　"&amp;FIXED(L193,2)&amp;" %","")</f>
        <v/>
      </c>
      <c r="J193" s="121"/>
      <c r="L193" s="126">
        <f>+IF(D178&gt;0,ROUND(K181*F185,2),0)</f>
        <v>0</v>
      </c>
    </row>
    <row r="194" spans="2:12">
      <c r="B194" s="119"/>
      <c r="J194" s="121"/>
    </row>
    <row r="195" spans="2:12">
      <c r="B195" s="119"/>
      <c r="C195" s="82"/>
      <c r="J195" s="121"/>
      <c r="L195" s="126"/>
    </row>
    <row r="196" spans="2:12">
      <c r="B196" s="119"/>
      <c r="J196" s="121"/>
      <c r="L196" s="126"/>
    </row>
    <row r="197" spans="2:12">
      <c r="B197" s="119"/>
      <c r="J197" s="121"/>
    </row>
    <row r="198" spans="2:12">
      <c r="B198" s="119"/>
      <c r="J198" s="121"/>
    </row>
    <row r="199" spans="2:12">
      <c r="B199" s="119"/>
      <c r="J199" s="121"/>
    </row>
    <row r="200" spans="2:12">
      <c r="B200" s="119"/>
      <c r="J200" s="121"/>
    </row>
    <row r="201" spans="2:12">
      <c r="B201" s="119"/>
      <c r="J201" s="121"/>
    </row>
    <row r="202" spans="2:12">
      <c r="B202" s="119"/>
      <c r="J202" s="121"/>
    </row>
    <row r="203" spans="2:12">
      <c r="B203" s="119"/>
      <c r="J203" s="121"/>
    </row>
    <row r="204" spans="2:12">
      <c r="B204" s="119"/>
      <c r="J204" s="121"/>
    </row>
    <row r="205" spans="2:12">
      <c r="B205" s="119"/>
      <c r="J205" s="121"/>
    </row>
    <row r="206" spans="2:12">
      <c r="B206" s="119"/>
      <c r="J206" s="121"/>
    </row>
    <row r="207" spans="2:12">
      <c r="B207" s="119"/>
      <c r="J207" s="121"/>
    </row>
    <row r="208" spans="2:12">
      <c r="B208" s="119"/>
      <c r="J208" s="121"/>
    </row>
    <row r="209" spans="2:10">
      <c r="B209" s="119"/>
      <c r="J209" s="121"/>
    </row>
    <row r="210" spans="2:10">
      <c r="B210" s="119"/>
      <c r="J210" s="121"/>
    </row>
    <row r="211" spans="2:10">
      <c r="B211" s="119"/>
      <c r="J211" s="121"/>
    </row>
    <row r="212" spans="2:10">
      <c r="B212" s="119"/>
      <c r="J212" s="121"/>
    </row>
    <row r="213" spans="2:10">
      <c r="B213" s="119"/>
      <c r="J213" s="121"/>
    </row>
    <row r="214" spans="2:10">
      <c r="B214" s="119"/>
      <c r="J214" s="121"/>
    </row>
    <row r="215" spans="2:10">
      <c r="B215" s="119"/>
      <c r="J215" s="121"/>
    </row>
    <row r="216" spans="2:10">
      <c r="B216" s="119"/>
      <c r="J216" s="121"/>
    </row>
    <row r="217" spans="2:10">
      <c r="B217" s="119"/>
      <c r="J217" s="121"/>
    </row>
    <row r="218" spans="2:10">
      <c r="B218" s="119"/>
      <c r="J218" s="121"/>
    </row>
    <row r="219" spans="2:10">
      <c r="B219" s="119"/>
      <c r="J219" s="121"/>
    </row>
    <row r="220" spans="2:10">
      <c r="B220" s="119"/>
      <c r="J220" s="121"/>
    </row>
    <row r="221" spans="2:10">
      <c r="B221" s="119"/>
      <c r="J221" s="121"/>
    </row>
    <row r="222" spans="2:10">
      <c r="B222" s="119"/>
      <c r="J222" s="121"/>
    </row>
    <row r="223" spans="2:10">
      <c r="B223" s="19"/>
      <c r="C223" s="20"/>
      <c r="D223" s="20"/>
      <c r="E223" s="20"/>
      <c r="F223" s="20"/>
      <c r="G223" s="20"/>
      <c r="H223" s="20"/>
      <c r="I223" s="20"/>
      <c r="J223" s="21"/>
    </row>
  </sheetData>
  <mergeCells count="9">
    <mergeCell ref="J4:J5"/>
    <mergeCell ref="D2:I3"/>
    <mergeCell ref="B4:B5"/>
    <mergeCell ref="C4:C5"/>
    <mergeCell ref="D4:E5"/>
    <mergeCell ref="F4:F5"/>
    <mergeCell ref="G4:G5"/>
    <mergeCell ref="H4:H5"/>
    <mergeCell ref="I4:I5"/>
  </mergeCells>
  <phoneticPr fontId="3"/>
  <dataValidations count="1">
    <dataValidation type="list" allowBlank="1" showInputMessage="1" showErrorMessage="1" sqref="E184:E185" xr:uid="{00000000-0002-0000-0800-000000000000}">
      <formula1>$L$183:$L$187</formula1>
    </dataValidation>
  </dataValidations>
  <printOptions horizontalCentered="1"/>
  <pageMargins left="0.78740157480314965" right="0.39370078740157483" top="0.39370078740157483" bottom="0.39370078740157483" header="0.31496062992125984" footer="0.11811023622047245"/>
  <pageSetup paperSize="9" scale="68" orientation="portrait" blackAndWhite="1" errors="blank" r:id="rId1"/>
  <headerFooter>
    <oddFooter>&amp;C&amp;P</oddFooter>
  </headerFooter>
  <rowBreaks count="1" manualBreakCount="1">
    <brk id="107"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sheetPr>
  <dimension ref="A1:AJ66"/>
  <sheetViews>
    <sheetView showZeros="0" view="pageBreakPreview" topLeftCell="A34" zoomScale="85" zoomScaleNormal="85" zoomScaleSheetLayoutView="85" workbookViewId="0">
      <selection activeCell="AB55" sqref="AB55"/>
    </sheetView>
  </sheetViews>
  <sheetFormatPr defaultColWidth="5.625" defaultRowHeight="17.100000000000001" customHeight="1"/>
  <cols>
    <col min="1" max="5" width="5.625" style="428" customWidth="1"/>
    <col min="6" max="10" width="5.625" style="429" customWidth="1"/>
    <col min="11" max="256" width="5.625" style="428"/>
    <col min="257" max="266" width="5.625" style="428" customWidth="1"/>
    <col min="267" max="512" width="5.625" style="428"/>
    <col min="513" max="522" width="5.625" style="428" customWidth="1"/>
    <col min="523" max="768" width="5.625" style="428"/>
    <col min="769" max="778" width="5.625" style="428" customWidth="1"/>
    <col min="779" max="1024" width="5.625" style="428"/>
    <col min="1025" max="1034" width="5.625" style="428" customWidth="1"/>
    <col min="1035" max="1280" width="5.625" style="428"/>
    <col min="1281" max="1290" width="5.625" style="428" customWidth="1"/>
    <col min="1291" max="1536" width="5.625" style="428"/>
    <col min="1537" max="1546" width="5.625" style="428" customWidth="1"/>
    <col min="1547" max="1792" width="5.625" style="428"/>
    <col min="1793" max="1802" width="5.625" style="428" customWidth="1"/>
    <col min="1803" max="2048" width="5.625" style="428"/>
    <col min="2049" max="2058" width="5.625" style="428" customWidth="1"/>
    <col min="2059" max="2304" width="5.625" style="428"/>
    <col min="2305" max="2314" width="5.625" style="428" customWidth="1"/>
    <col min="2315" max="2560" width="5.625" style="428"/>
    <col min="2561" max="2570" width="5.625" style="428" customWidth="1"/>
    <col min="2571" max="2816" width="5.625" style="428"/>
    <col min="2817" max="2826" width="5.625" style="428" customWidth="1"/>
    <col min="2827" max="3072" width="5.625" style="428"/>
    <col min="3073" max="3082" width="5.625" style="428" customWidth="1"/>
    <col min="3083" max="3328" width="5.625" style="428"/>
    <col min="3329" max="3338" width="5.625" style="428" customWidth="1"/>
    <col min="3339" max="3584" width="5.625" style="428"/>
    <col min="3585" max="3594" width="5.625" style="428" customWidth="1"/>
    <col min="3595" max="3840" width="5.625" style="428"/>
    <col min="3841" max="3850" width="5.625" style="428" customWidth="1"/>
    <col min="3851" max="4096" width="5.625" style="428"/>
    <col min="4097" max="4106" width="5.625" style="428" customWidth="1"/>
    <col min="4107" max="4352" width="5.625" style="428"/>
    <col min="4353" max="4362" width="5.625" style="428" customWidth="1"/>
    <col min="4363" max="4608" width="5.625" style="428"/>
    <col min="4609" max="4618" width="5.625" style="428" customWidth="1"/>
    <col min="4619" max="4864" width="5.625" style="428"/>
    <col min="4865" max="4874" width="5.625" style="428" customWidth="1"/>
    <col min="4875" max="5120" width="5.625" style="428"/>
    <col min="5121" max="5130" width="5.625" style="428" customWidth="1"/>
    <col min="5131" max="5376" width="5.625" style="428"/>
    <col min="5377" max="5386" width="5.625" style="428" customWidth="1"/>
    <col min="5387" max="5632" width="5.625" style="428"/>
    <col min="5633" max="5642" width="5.625" style="428" customWidth="1"/>
    <col min="5643" max="5888" width="5.625" style="428"/>
    <col min="5889" max="5898" width="5.625" style="428" customWidth="1"/>
    <col min="5899" max="6144" width="5.625" style="428"/>
    <col min="6145" max="6154" width="5.625" style="428" customWidth="1"/>
    <col min="6155" max="6400" width="5.625" style="428"/>
    <col min="6401" max="6410" width="5.625" style="428" customWidth="1"/>
    <col min="6411" max="6656" width="5.625" style="428"/>
    <col min="6657" max="6666" width="5.625" style="428" customWidth="1"/>
    <col min="6667" max="6912" width="5.625" style="428"/>
    <col min="6913" max="6922" width="5.625" style="428" customWidth="1"/>
    <col min="6923" max="7168" width="5.625" style="428"/>
    <col min="7169" max="7178" width="5.625" style="428" customWidth="1"/>
    <col min="7179" max="7424" width="5.625" style="428"/>
    <col min="7425" max="7434" width="5.625" style="428" customWidth="1"/>
    <col min="7435" max="7680" width="5.625" style="428"/>
    <col min="7681" max="7690" width="5.625" style="428" customWidth="1"/>
    <col min="7691" max="7936" width="5.625" style="428"/>
    <col min="7937" max="7946" width="5.625" style="428" customWidth="1"/>
    <col min="7947" max="8192" width="5.625" style="428"/>
    <col min="8193" max="8202" width="5.625" style="428" customWidth="1"/>
    <col min="8203" max="8448" width="5.625" style="428"/>
    <col min="8449" max="8458" width="5.625" style="428" customWidth="1"/>
    <col min="8459" max="8704" width="5.625" style="428"/>
    <col min="8705" max="8714" width="5.625" style="428" customWidth="1"/>
    <col min="8715" max="8960" width="5.625" style="428"/>
    <col min="8961" max="8970" width="5.625" style="428" customWidth="1"/>
    <col min="8971" max="9216" width="5.625" style="428"/>
    <col min="9217" max="9226" width="5.625" style="428" customWidth="1"/>
    <col min="9227" max="9472" width="5.625" style="428"/>
    <col min="9473" max="9482" width="5.625" style="428" customWidth="1"/>
    <col min="9483" max="9728" width="5.625" style="428"/>
    <col min="9729" max="9738" width="5.625" style="428" customWidth="1"/>
    <col min="9739" max="9984" width="5.625" style="428"/>
    <col min="9985" max="9994" width="5.625" style="428" customWidth="1"/>
    <col min="9995" max="10240" width="5.625" style="428"/>
    <col min="10241" max="10250" width="5.625" style="428" customWidth="1"/>
    <col min="10251" max="10496" width="5.625" style="428"/>
    <col min="10497" max="10506" width="5.625" style="428" customWidth="1"/>
    <col min="10507" max="10752" width="5.625" style="428"/>
    <col min="10753" max="10762" width="5.625" style="428" customWidth="1"/>
    <col min="10763" max="11008" width="5.625" style="428"/>
    <col min="11009" max="11018" width="5.625" style="428" customWidth="1"/>
    <col min="11019" max="11264" width="5.625" style="428"/>
    <col min="11265" max="11274" width="5.625" style="428" customWidth="1"/>
    <col min="11275" max="11520" width="5.625" style="428"/>
    <col min="11521" max="11530" width="5.625" style="428" customWidth="1"/>
    <col min="11531" max="11776" width="5.625" style="428"/>
    <col min="11777" max="11786" width="5.625" style="428" customWidth="1"/>
    <col min="11787" max="12032" width="5.625" style="428"/>
    <col min="12033" max="12042" width="5.625" style="428" customWidth="1"/>
    <col min="12043" max="12288" width="5.625" style="428"/>
    <col min="12289" max="12298" width="5.625" style="428" customWidth="1"/>
    <col min="12299" max="12544" width="5.625" style="428"/>
    <col min="12545" max="12554" width="5.625" style="428" customWidth="1"/>
    <col min="12555" max="12800" width="5.625" style="428"/>
    <col min="12801" max="12810" width="5.625" style="428" customWidth="1"/>
    <col min="12811" max="13056" width="5.625" style="428"/>
    <col min="13057" max="13066" width="5.625" style="428" customWidth="1"/>
    <col min="13067" max="13312" width="5.625" style="428"/>
    <col min="13313" max="13322" width="5.625" style="428" customWidth="1"/>
    <col min="13323" max="13568" width="5.625" style="428"/>
    <col min="13569" max="13578" width="5.625" style="428" customWidth="1"/>
    <col min="13579" max="13824" width="5.625" style="428"/>
    <col min="13825" max="13834" width="5.625" style="428" customWidth="1"/>
    <col min="13835" max="14080" width="5.625" style="428"/>
    <col min="14081" max="14090" width="5.625" style="428" customWidth="1"/>
    <col min="14091" max="14336" width="5.625" style="428"/>
    <col min="14337" max="14346" width="5.625" style="428" customWidth="1"/>
    <col min="14347" max="14592" width="5.625" style="428"/>
    <col min="14593" max="14602" width="5.625" style="428" customWidth="1"/>
    <col min="14603" max="14848" width="5.625" style="428"/>
    <col min="14849" max="14858" width="5.625" style="428" customWidth="1"/>
    <col min="14859" max="15104" width="5.625" style="428"/>
    <col min="15105" max="15114" width="5.625" style="428" customWidth="1"/>
    <col min="15115" max="15360" width="5.625" style="428"/>
    <col min="15361" max="15370" width="5.625" style="428" customWidth="1"/>
    <col min="15371" max="15616" width="5.625" style="428"/>
    <col min="15617" max="15626" width="5.625" style="428" customWidth="1"/>
    <col min="15627" max="15872" width="5.625" style="428"/>
    <col min="15873" max="15882" width="5.625" style="428" customWidth="1"/>
    <col min="15883" max="16128" width="5.625" style="428"/>
    <col min="16129" max="16138" width="5.625" style="428" customWidth="1"/>
    <col min="16139" max="16384" width="5.625" style="428"/>
  </cols>
  <sheetData>
    <row r="1" spans="1:36" ht="17.100000000000001" hidden="1" customHeight="1">
      <c r="A1" s="554" t="s">
        <v>1033</v>
      </c>
      <c r="B1" s="554"/>
      <c r="C1" s="554"/>
      <c r="D1" s="555" t="s">
        <v>1034</v>
      </c>
      <c r="E1" s="555"/>
      <c r="F1" s="555"/>
      <c r="G1" s="555"/>
      <c r="H1" s="555"/>
      <c r="I1" s="555"/>
      <c r="J1" s="555"/>
      <c r="K1" s="555"/>
      <c r="L1" s="555"/>
      <c r="M1" s="555"/>
      <c r="N1" s="555"/>
      <c r="O1" s="555"/>
      <c r="P1" s="555"/>
      <c r="Q1" s="555"/>
      <c r="R1" s="555"/>
      <c r="S1" s="555"/>
      <c r="T1" s="555"/>
      <c r="U1" s="555"/>
      <c r="V1" s="555"/>
      <c r="W1" s="555"/>
      <c r="X1" s="555"/>
      <c r="Y1" s="555"/>
    </row>
    <row r="2" spans="1:36" ht="17.100000000000001" hidden="1" customHeight="1">
      <c r="A2" s="554"/>
      <c r="B2" s="554"/>
      <c r="C2" s="554"/>
      <c r="D2" s="555"/>
      <c r="E2" s="555"/>
      <c r="F2" s="555"/>
      <c r="G2" s="555"/>
      <c r="H2" s="555"/>
      <c r="I2" s="555"/>
      <c r="J2" s="555"/>
      <c r="K2" s="555"/>
      <c r="L2" s="555"/>
      <c r="M2" s="555"/>
      <c r="N2" s="555"/>
      <c r="O2" s="555"/>
      <c r="P2" s="555"/>
      <c r="Q2" s="555"/>
      <c r="R2" s="555"/>
      <c r="S2" s="555"/>
      <c r="T2" s="555"/>
      <c r="U2" s="555"/>
      <c r="V2" s="555"/>
      <c r="W2" s="555"/>
      <c r="X2" s="555"/>
      <c r="Y2" s="555"/>
    </row>
    <row r="3" spans="1:36" ht="17.100000000000001" hidden="1" customHeight="1">
      <c r="B3" s="556" t="s">
        <v>1035</v>
      </c>
      <c r="C3" s="557"/>
      <c r="D3" s="557"/>
      <c r="E3" s="557"/>
      <c r="F3" s="557"/>
      <c r="G3" s="557"/>
      <c r="H3" s="557"/>
      <c r="I3" s="557"/>
      <c r="J3" s="557"/>
      <c r="K3" s="557"/>
      <c r="L3" s="557"/>
      <c r="M3" s="557"/>
      <c r="N3" s="557"/>
      <c r="O3" s="557"/>
      <c r="P3" s="557"/>
      <c r="Q3" s="557"/>
      <c r="R3" s="557"/>
      <c r="S3" s="558" t="s">
        <v>1036</v>
      </c>
      <c r="T3" s="558"/>
      <c r="U3" s="558"/>
      <c r="V3" s="558"/>
      <c r="W3" s="558"/>
      <c r="X3" s="558"/>
      <c r="Y3" s="559"/>
    </row>
    <row r="4" spans="1:36" s="429" customFormat="1" ht="17.100000000000001" hidden="1" customHeight="1">
      <c r="B4" s="560" t="s">
        <v>1037</v>
      </c>
      <c r="C4" s="560"/>
      <c r="D4" s="560"/>
      <c r="E4" s="560" t="s">
        <v>1038</v>
      </c>
      <c r="F4" s="560"/>
      <c r="G4" s="560"/>
      <c r="H4" s="560" t="s">
        <v>1039</v>
      </c>
      <c r="I4" s="560"/>
      <c r="J4" s="560"/>
      <c r="K4" s="560" t="s">
        <v>1040</v>
      </c>
      <c r="L4" s="560"/>
      <c r="M4" s="560"/>
      <c r="N4" s="560" t="s">
        <v>1041</v>
      </c>
      <c r="O4" s="560" t="s">
        <v>1042</v>
      </c>
      <c r="P4" s="560" t="s">
        <v>1043</v>
      </c>
      <c r="Q4" s="560"/>
      <c r="R4" s="560"/>
      <c r="S4" s="560" t="s">
        <v>1044</v>
      </c>
      <c r="T4" s="560"/>
      <c r="U4" s="560"/>
      <c r="V4" s="560" t="s">
        <v>1045</v>
      </c>
      <c r="W4" s="560"/>
      <c r="X4" s="560"/>
      <c r="Y4" s="560"/>
    </row>
    <row r="5" spans="1:36" ht="17.100000000000001" hidden="1" customHeight="1">
      <c r="B5" s="560"/>
      <c r="C5" s="560"/>
      <c r="D5" s="560"/>
      <c r="E5" s="560"/>
      <c r="F5" s="560"/>
      <c r="G5" s="560"/>
      <c r="H5" s="560"/>
      <c r="I5" s="560"/>
      <c r="J5" s="560"/>
      <c r="K5" s="560"/>
      <c r="L5" s="560"/>
      <c r="M5" s="560"/>
      <c r="N5" s="560"/>
      <c r="O5" s="560"/>
      <c r="P5" s="560"/>
      <c r="Q5" s="560"/>
      <c r="R5" s="560"/>
      <c r="S5" s="560"/>
      <c r="T5" s="560"/>
      <c r="U5" s="560"/>
      <c r="V5" s="560"/>
      <c r="W5" s="560"/>
      <c r="X5" s="560"/>
      <c r="Y5" s="560"/>
      <c r="AA5" s="429"/>
      <c r="AB5" s="429"/>
      <c r="AC5" s="429"/>
      <c r="AD5" s="430"/>
      <c r="AE5" s="429"/>
      <c r="AF5" s="429"/>
      <c r="AG5" s="429"/>
      <c r="AH5" s="429"/>
      <c r="AI5" s="429"/>
      <c r="AJ5" s="429"/>
    </row>
    <row r="6" spans="1:36" ht="17.100000000000001" hidden="1" customHeight="1">
      <c r="B6" s="561" t="s">
        <v>1046</v>
      </c>
      <c r="C6" s="561"/>
      <c r="D6" s="561"/>
      <c r="E6" s="561"/>
      <c r="F6" s="561"/>
      <c r="G6" s="561"/>
      <c r="H6" s="561"/>
      <c r="I6" s="561"/>
      <c r="J6" s="561"/>
      <c r="K6" s="561"/>
      <c r="L6" s="561"/>
      <c r="M6" s="561"/>
      <c r="N6" s="431"/>
      <c r="O6" s="431"/>
      <c r="P6" s="562"/>
      <c r="Q6" s="562"/>
      <c r="R6" s="562"/>
      <c r="S6" s="562"/>
      <c r="T6" s="562"/>
      <c r="U6" s="562"/>
      <c r="V6" s="563"/>
      <c r="W6" s="563"/>
      <c r="X6" s="563"/>
      <c r="Y6" s="563"/>
      <c r="AD6" s="432"/>
    </row>
    <row r="7" spans="1:36" ht="17.100000000000001" hidden="1" customHeight="1">
      <c r="B7" s="567" t="s">
        <v>1047</v>
      </c>
      <c r="C7" s="567"/>
      <c r="D7" s="567"/>
      <c r="E7" s="567"/>
      <c r="F7" s="567"/>
      <c r="G7" s="567"/>
      <c r="H7" s="567"/>
      <c r="I7" s="567"/>
      <c r="J7" s="567"/>
      <c r="K7" s="567"/>
      <c r="L7" s="567"/>
      <c r="M7" s="567"/>
      <c r="N7" s="433"/>
      <c r="O7" s="433"/>
      <c r="P7" s="568"/>
      <c r="Q7" s="568"/>
      <c r="R7" s="568"/>
      <c r="S7" s="569"/>
      <c r="T7" s="569"/>
      <c r="U7" s="569"/>
      <c r="V7" s="564"/>
      <c r="W7" s="564"/>
      <c r="X7" s="564"/>
      <c r="Y7" s="564"/>
      <c r="AD7" s="432"/>
      <c r="AF7" s="434"/>
      <c r="AG7" s="435"/>
      <c r="AH7" s="429"/>
      <c r="AJ7" s="429"/>
    </row>
    <row r="8" spans="1:36" ht="17.100000000000001" hidden="1" customHeight="1">
      <c r="B8" s="561"/>
      <c r="C8" s="561"/>
      <c r="D8" s="561"/>
      <c r="E8" s="561" t="s">
        <v>1048</v>
      </c>
      <c r="F8" s="561"/>
      <c r="G8" s="561"/>
      <c r="H8" s="561" t="s">
        <v>1049</v>
      </c>
      <c r="I8" s="561"/>
      <c r="J8" s="561"/>
      <c r="K8" s="561"/>
      <c r="L8" s="561"/>
      <c r="M8" s="561"/>
      <c r="N8" s="431">
        <v>1</v>
      </c>
      <c r="O8" s="431" t="s">
        <v>1050</v>
      </c>
      <c r="P8" s="565"/>
      <c r="Q8" s="565"/>
      <c r="R8" s="565"/>
      <c r="S8" s="566">
        <f>[7]機内訳!S298</f>
        <v>47560000</v>
      </c>
      <c r="T8" s="566"/>
      <c r="U8" s="566"/>
      <c r="V8" s="563"/>
      <c r="W8" s="563"/>
      <c r="X8" s="563"/>
      <c r="Y8" s="563"/>
      <c r="AD8" s="432"/>
      <c r="AF8" s="434"/>
      <c r="AG8" s="435"/>
      <c r="AH8" s="429"/>
      <c r="AI8" s="432"/>
      <c r="AJ8" s="429"/>
    </row>
    <row r="9" spans="1:36" ht="17.100000000000001" hidden="1" customHeight="1">
      <c r="B9" s="567"/>
      <c r="C9" s="567"/>
      <c r="D9" s="567"/>
      <c r="E9" s="567"/>
      <c r="F9" s="567"/>
      <c r="G9" s="567"/>
      <c r="H9" s="567"/>
      <c r="I9" s="567"/>
      <c r="J9" s="567"/>
      <c r="K9" s="567"/>
      <c r="L9" s="567"/>
      <c r="M9" s="567"/>
      <c r="N9" s="433">
        <v>1</v>
      </c>
      <c r="O9" s="433"/>
      <c r="P9" s="568"/>
      <c r="Q9" s="568"/>
      <c r="R9" s="568"/>
      <c r="S9" s="571">
        <f>[7]機内訳!S299</f>
        <v>47173000</v>
      </c>
      <c r="T9" s="571"/>
      <c r="U9" s="571"/>
      <c r="V9" s="570"/>
      <c r="W9" s="570"/>
      <c r="X9" s="570"/>
      <c r="Y9" s="570"/>
      <c r="AD9" s="432"/>
    </row>
    <row r="10" spans="1:36" ht="17.100000000000001" hidden="1" customHeight="1">
      <c r="B10" s="561"/>
      <c r="C10" s="561"/>
      <c r="D10" s="561"/>
      <c r="E10" s="561" t="s">
        <v>1051</v>
      </c>
      <c r="F10" s="561"/>
      <c r="G10" s="561"/>
      <c r="H10" s="561" t="s">
        <v>1049</v>
      </c>
      <c r="I10" s="561"/>
      <c r="J10" s="561"/>
      <c r="K10" s="561"/>
      <c r="L10" s="561"/>
      <c r="M10" s="561"/>
      <c r="N10" s="431">
        <v>1</v>
      </c>
      <c r="O10" s="431" t="s">
        <v>1050</v>
      </c>
      <c r="P10" s="565"/>
      <c r="Q10" s="565"/>
      <c r="R10" s="565"/>
      <c r="S10" s="566">
        <f>[7]電内訳!S260</f>
        <v>53215000</v>
      </c>
      <c r="T10" s="566"/>
      <c r="U10" s="566"/>
      <c r="V10" s="563"/>
      <c r="W10" s="563"/>
      <c r="X10" s="563"/>
      <c r="Y10" s="563"/>
      <c r="AA10" s="436"/>
      <c r="AB10" s="429"/>
      <c r="AD10" s="432"/>
    </row>
    <row r="11" spans="1:36" ht="17.100000000000001" hidden="1" customHeight="1">
      <c r="B11" s="567"/>
      <c r="C11" s="567"/>
      <c r="D11" s="567"/>
      <c r="E11" s="567"/>
      <c r="F11" s="567"/>
      <c r="G11" s="567"/>
      <c r="H11" s="567"/>
      <c r="I11" s="567"/>
      <c r="J11" s="567"/>
      <c r="K11" s="567"/>
      <c r="L11" s="567"/>
      <c r="M11" s="567"/>
      <c r="N11" s="433">
        <v>1</v>
      </c>
      <c r="O11" s="433"/>
      <c r="P11" s="568"/>
      <c r="Q11" s="568"/>
      <c r="R11" s="568"/>
      <c r="S11" s="571">
        <f>[7]電内訳!S261</f>
        <v>54576000</v>
      </c>
      <c r="T11" s="571"/>
      <c r="U11" s="571"/>
      <c r="V11" s="570"/>
      <c r="W11" s="570"/>
      <c r="X11" s="570"/>
      <c r="Y11" s="570"/>
      <c r="AA11" s="436"/>
      <c r="AD11" s="432"/>
    </row>
    <row r="12" spans="1:36" ht="17.100000000000001" hidden="1" customHeight="1">
      <c r="B12" s="561"/>
      <c r="C12" s="561"/>
      <c r="D12" s="561"/>
      <c r="E12" s="561" t="s">
        <v>1052</v>
      </c>
      <c r="F12" s="561"/>
      <c r="G12" s="561"/>
      <c r="H12" s="561" t="s">
        <v>1049</v>
      </c>
      <c r="I12" s="561"/>
      <c r="J12" s="561"/>
      <c r="K12" s="561"/>
      <c r="L12" s="561"/>
      <c r="M12" s="561"/>
      <c r="N12" s="431">
        <v>1</v>
      </c>
      <c r="O12" s="431" t="s">
        <v>1050</v>
      </c>
      <c r="P12" s="565"/>
      <c r="Q12" s="565"/>
      <c r="R12" s="565"/>
      <c r="S12" s="566">
        <v>5603000</v>
      </c>
      <c r="T12" s="566"/>
      <c r="U12" s="566"/>
      <c r="V12" s="563"/>
      <c r="W12" s="563"/>
      <c r="X12" s="563"/>
      <c r="Y12" s="563"/>
      <c r="AA12" s="436"/>
      <c r="AB12" s="429"/>
      <c r="AD12" s="432"/>
    </row>
    <row r="13" spans="1:36" ht="17.100000000000001" hidden="1" customHeight="1">
      <c r="B13" s="567"/>
      <c r="C13" s="567"/>
      <c r="D13" s="567"/>
      <c r="E13" s="567"/>
      <c r="F13" s="567"/>
      <c r="G13" s="567"/>
      <c r="H13" s="567"/>
      <c r="I13" s="567"/>
      <c r="J13" s="567"/>
      <c r="K13" s="567"/>
      <c r="L13" s="567"/>
      <c r="M13" s="567"/>
      <c r="N13" s="433">
        <v>1</v>
      </c>
      <c r="O13" s="433"/>
      <c r="P13" s="568"/>
      <c r="Q13" s="568"/>
      <c r="R13" s="568"/>
      <c r="S13" s="571">
        <v>6143000</v>
      </c>
      <c r="T13" s="571"/>
      <c r="U13" s="571"/>
      <c r="V13" s="570"/>
      <c r="W13" s="570"/>
      <c r="X13" s="570"/>
      <c r="Y13" s="570"/>
      <c r="AA13" s="436"/>
      <c r="AD13" s="432"/>
    </row>
    <row r="14" spans="1:36" ht="17.100000000000001" hidden="1" customHeight="1">
      <c r="B14" s="561"/>
      <c r="C14" s="561"/>
      <c r="D14" s="561"/>
      <c r="E14" s="561"/>
      <c r="F14" s="561"/>
      <c r="G14" s="561"/>
      <c r="H14" s="561" t="s">
        <v>1049</v>
      </c>
      <c r="I14" s="561"/>
      <c r="J14" s="561"/>
      <c r="K14" s="561"/>
      <c r="L14" s="561"/>
      <c r="M14" s="561"/>
      <c r="N14" s="431"/>
      <c r="O14" s="431"/>
      <c r="P14" s="565"/>
      <c r="Q14" s="565"/>
      <c r="R14" s="565"/>
      <c r="S14" s="566">
        <f>S8+S10+S12</f>
        <v>106378000</v>
      </c>
      <c r="T14" s="566"/>
      <c r="U14" s="566"/>
      <c r="V14" s="563"/>
      <c r="W14" s="563"/>
      <c r="X14" s="563"/>
      <c r="Y14" s="563"/>
      <c r="AD14" s="432"/>
    </row>
    <row r="15" spans="1:36" ht="17.100000000000001" hidden="1" customHeight="1">
      <c r="B15" s="567"/>
      <c r="C15" s="567"/>
      <c r="D15" s="567"/>
      <c r="E15" s="567"/>
      <c r="F15" s="567"/>
      <c r="G15" s="567"/>
      <c r="H15" s="567" t="s">
        <v>1053</v>
      </c>
      <c r="I15" s="567"/>
      <c r="J15" s="567"/>
      <c r="K15" s="567"/>
      <c r="L15" s="567"/>
      <c r="M15" s="567"/>
      <c r="N15" s="433"/>
      <c r="O15" s="433"/>
      <c r="P15" s="568"/>
      <c r="Q15" s="568"/>
      <c r="R15" s="568"/>
      <c r="S15" s="571">
        <f>S9+S11+S13</f>
        <v>107892000</v>
      </c>
      <c r="T15" s="571"/>
      <c r="U15" s="571"/>
      <c r="V15" s="570"/>
      <c r="W15" s="570"/>
      <c r="X15" s="570"/>
      <c r="Y15" s="570"/>
      <c r="AD15" s="432"/>
    </row>
    <row r="16" spans="1:36" ht="17.100000000000001" hidden="1" customHeight="1">
      <c r="B16" s="561"/>
      <c r="C16" s="561"/>
      <c r="D16" s="561"/>
      <c r="E16" s="561"/>
      <c r="F16" s="561"/>
      <c r="G16" s="561"/>
      <c r="H16" s="561"/>
      <c r="I16" s="561"/>
      <c r="J16" s="561"/>
      <c r="K16" s="561"/>
      <c r="L16" s="561"/>
      <c r="M16" s="561"/>
      <c r="N16" s="431"/>
      <c r="O16" s="431"/>
      <c r="P16" s="565"/>
      <c r="Q16" s="565"/>
      <c r="R16" s="565"/>
      <c r="S16" s="562"/>
      <c r="T16" s="562"/>
      <c r="U16" s="562"/>
      <c r="V16" s="563"/>
      <c r="W16" s="563"/>
      <c r="X16" s="563"/>
      <c r="Y16" s="563"/>
      <c r="AA16" s="436"/>
      <c r="AB16" s="434"/>
      <c r="AD16" s="432"/>
      <c r="AE16" s="429"/>
      <c r="AG16" s="429"/>
    </row>
    <row r="17" spans="2:36" ht="17.100000000000001" hidden="1" customHeight="1">
      <c r="B17" s="567"/>
      <c r="C17" s="567"/>
      <c r="D17" s="567"/>
      <c r="E17" s="567"/>
      <c r="F17" s="567"/>
      <c r="G17" s="567"/>
      <c r="H17" s="567"/>
      <c r="I17" s="567"/>
      <c r="J17" s="567"/>
      <c r="K17" s="567"/>
      <c r="L17" s="567"/>
      <c r="M17" s="567"/>
      <c r="N17" s="433"/>
      <c r="O17" s="433"/>
      <c r="P17" s="568"/>
      <c r="Q17" s="568"/>
      <c r="R17" s="568"/>
      <c r="S17" s="569"/>
      <c r="T17" s="569"/>
      <c r="U17" s="569"/>
      <c r="V17" s="570"/>
      <c r="W17" s="570"/>
      <c r="X17" s="570"/>
      <c r="Y17" s="570"/>
      <c r="AA17" s="436"/>
      <c r="AB17" s="434"/>
      <c r="AD17" s="432"/>
      <c r="AE17" s="429"/>
    </row>
    <row r="18" spans="2:36" ht="17.100000000000001" hidden="1" customHeight="1">
      <c r="B18" s="561"/>
      <c r="C18" s="561"/>
      <c r="D18" s="561"/>
      <c r="E18" s="561"/>
      <c r="F18" s="561"/>
      <c r="G18" s="561"/>
      <c r="H18" s="561" t="s">
        <v>1054</v>
      </c>
      <c r="I18" s="561"/>
      <c r="J18" s="561"/>
      <c r="K18" s="561"/>
      <c r="L18" s="561"/>
      <c r="M18" s="561"/>
      <c r="N18" s="431">
        <v>10</v>
      </c>
      <c r="O18" s="431" t="s">
        <v>1055</v>
      </c>
      <c r="P18" s="566">
        <f>S14</f>
        <v>106378000</v>
      </c>
      <c r="Q18" s="566"/>
      <c r="R18" s="566"/>
      <c r="S18" s="566">
        <f>ROUNDDOWN(S14*N18/100,0)</f>
        <v>10637800</v>
      </c>
      <c r="T18" s="566"/>
      <c r="U18" s="566"/>
      <c r="V18" s="563"/>
      <c r="W18" s="563"/>
      <c r="X18" s="563"/>
      <c r="Y18" s="563"/>
    </row>
    <row r="19" spans="2:36" ht="17.100000000000001" hidden="1" customHeight="1">
      <c r="B19" s="567"/>
      <c r="C19" s="567"/>
      <c r="D19" s="567"/>
      <c r="E19" s="567"/>
      <c r="F19" s="567"/>
      <c r="G19" s="567"/>
      <c r="H19" s="567"/>
      <c r="I19" s="567"/>
      <c r="J19" s="567"/>
      <c r="K19" s="567"/>
      <c r="L19" s="567"/>
      <c r="M19" s="567"/>
      <c r="N19" s="433">
        <v>10</v>
      </c>
      <c r="O19" s="433"/>
      <c r="P19" s="571">
        <f>S15</f>
        <v>107892000</v>
      </c>
      <c r="Q19" s="571"/>
      <c r="R19" s="571"/>
      <c r="S19" s="571">
        <f>ROUNDDOWN(S15*0.1,0)</f>
        <v>10789200</v>
      </c>
      <c r="T19" s="571"/>
      <c r="U19" s="571"/>
      <c r="V19" s="570"/>
      <c r="W19" s="570"/>
      <c r="X19" s="570"/>
      <c r="Y19" s="570"/>
    </row>
    <row r="20" spans="2:36" ht="17.100000000000001" hidden="1" customHeight="1">
      <c r="B20" s="561"/>
      <c r="C20" s="561"/>
      <c r="D20" s="561"/>
      <c r="E20" s="561"/>
      <c r="F20" s="561"/>
      <c r="G20" s="561"/>
      <c r="H20" s="561" t="s">
        <v>1046</v>
      </c>
      <c r="I20" s="561"/>
      <c r="J20" s="561"/>
      <c r="K20" s="561"/>
      <c r="L20" s="561"/>
      <c r="M20" s="561"/>
      <c r="N20" s="431"/>
      <c r="O20" s="431"/>
      <c r="P20" s="565"/>
      <c r="Q20" s="565"/>
      <c r="R20" s="565"/>
      <c r="S20" s="566">
        <f>S14+S18</f>
        <v>117015800</v>
      </c>
      <c r="T20" s="566"/>
      <c r="U20" s="566"/>
      <c r="V20" s="563"/>
      <c r="W20" s="563"/>
      <c r="X20" s="563"/>
      <c r="Y20" s="563"/>
      <c r="AA20" s="429"/>
      <c r="AB20" s="429"/>
      <c r="AC20" s="429"/>
      <c r="AD20" s="430"/>
      <c r="AE20" s="429"/>
      <c r="AF20" s="429"/>
      <c r="AG20" s="429"/>
      <c r="AH20" s="429"/>
      <c r="AI20" s="429"/>
      <c r="AJ20" s="429"/>
    </row>
    <row r="21" spans="2:36" ht="17.100000000000001" hidden="1" customHeight="1">
      <c r="B21" s="567"/>
      <c r="C21" s="567"/>
      <c r="D21" s="567"/>
      <c r="E21" s="567"/>
      <c r="F21" s="567"/>
      <c r="G21" s="567"/>
      <c r="H21" s="567"/>
      <c r="I21" s="567"/>
      <c r="J21" s="567"/>
      <c r="K21" s="567"/>
      <c r="L21" s="567"/>
      <c r="M21" s="567"/>
      <c r="N21" s="433"/>
      <c r="O21" s="433"/>
      <c r="P21" s="568"/>
      <c r="Q21" s="568"/>
      <c r="R21" s="568"/>
      <c r="S21" s="571">
        <f>S15+S19</f>
        <v>118681200</v>
      </c>
      <c r="T21" s="571"/>
      <c r="U21" s="571"/>
      <c r="V21" s="570"/>
      <c r="W21" s="570"/>
      <c r="X21" s="570"/>
      <c r="Y21" s="570"/>
      <c r="AD21" s="432"/>
    </row>
    <row r="22" spans="2:36" ht="17.100000000000001" hidden="1" customHeight="1">
      <c r="B22" s="561"/>
      <c r="C22" s="561"/>
      <c r="D22" s="561"/>
      <c r="E22" s="561"/>
      <c r="F22" s="561"/>
      <c r="G22" s="561"/>
      <c r="H22" s="561"/>
      <c r="I22" s="561"/>
      <c r="J22" s="561"/>
      <c r="K22" s="561"/>
      <c r="L22" s="561"/>
      <c r="M22" s="561"/>
      <c r="N22" s="431"/>
      <c r="O22" s="431"/>
      <c r="P22" s="565"/>
      <c r="Q22" s="565"/>
      <c r="R22" s="565"/>
      <c r="S22" s="562"/>
      <c r="T22" s="562"/>
      <c r="U22" s="562"/>
      <c r="V22" s="563"/>
      <c r="W22" s="563"/>
      <c r="X22" s="563"/>
      <c r="Y22" s="563"/>
      <c r="AD22" s="432"/>
      <c r="AF22" s="434"/>
      <c r="AG22" s="435"/>
      <c r="AJ22" s="429"/>
    </row>
    <row r="23" spans="2:36" ht="17.100000000000001" hidden="1" customHeight="1">
      <c r="B23" s="567"/>
      <c r="C23" s="567"/>
      <c r="D23" s="567"/>
      <c r="E23" s="567"/>
      <c r="F23" s="567"/>
      <c r="G23" s="567"/>
      <c r="H23" s="567"/>
      <c r="I23" s="567"/>
      <c r="J23" s="567"/>
      <c r="K23" s="567"/>
      <c r="L23" s="567"/>
      <c r="M23" s="567"/>
      <c r="N23" s="433"/>
      <c r="O23" s="433"/>
      <c r="P23" s="568"/>
      <c r="Q23" s="568"/>
      <c r="R23" s="568"/>
      <c r="S23" s="569"/>
      <c r="T23" s="569"/>
      <c r="U23" s="569"/>
      <c r="V23" s="570"/>
      <c r="W23" s="570"/>
      <c r="X23" s="570"/>
      <c r="Y23" s="570"/>
      <c r="AD23" s="432"/>
      <c r="AF23" s="434"/>
      <c r="AG23" s="435"/>
      <c r="AJ23" s="429"/>
    </row>
    <row r="24" spans="2:36" ht="17.100000000000001" hidden="1" customHeight="1">
      <c r="B24" s="561"/>
      <c r="C24" s="561"/>
      <c r="D24" s="561"/>
      <c r="E24" s="561"/>
      <c r="F24" s="561"/>
      <c r="G24" s="561"/>
      <c r="H24" s="561" t="s">
        <v>1056</v>
      </c>
      <c r="I24" s="561"/>
      <c r="J24" s="561"/>
      <c r="K24" s="561"/>
      <c r="L24" s="561"/>
      <c r="M24" s="561"/>
      <c r="N24" s="431"/>
      <c r="O24" s="431"/>
      <c r="P24" s="565"/>
      <c r="Q24" s="565"/>
      <c r="R24" s="565"/>
      <c r="S24" s="572" t="e">
        <f>K42/1.1</f>
        <v>#REF!</v>
      </c>
      <c r="T24" s="572"/>
      <c r="U24" s="572"/>
      <c r="V24" s="563"/>
      <c r="W24" s="563"/>
      <c r="X24" s="563"/>
      <c r="Y24" s="563"/>
      <c r="AD24" s="432"/>
    </row>
    <row r="25" spans="2:36" ht="17.100000000000001" hidden="1" customHeight="1">
      <c r="B25" s="567"/>
      <c r="C25" s="567"/>
      <c r="D25" s="567"/>
      <c r="E25" s="567"/>
      <c r="F25" s="567"/>
      <c r="G25" s="567"/>
      <c r="H25" s="567"/>
      <c r="I25" s="567"/>
      <c r="J25" s="567"/>
      <c r="K25" s="567"/>
      <c r="L25" s="567"/>
      <c r="M25" s="567"/>
      <c r="N25" s="433"/>
      <c r="O25" s="433"/>
      <c r="P25" s="568"/>
      <c r="Q25" s="568"/>
      <c r="R25" s="568"/>
      <c r="S25" s="573" t="e">
        <f>K50</f>
        <v>#REF!</v>
      </c>
      <c r="T25" s="574"/>
      <c r="U25" s="575"/>
      <c r="V25" s="570"/>
      <c r="W25" s="570"/>
      <c r="X25" s="570"/>
      <c r="Y25" s="570"/>
      <c r="AA25" s="436"/>
      <c r="AB25" s="429"/>
      <c r="AD25" s="432"/>
    </row>
    <row r="26" spans="2:36" ht="17.100000000000001" hidden="1" customHeight="1">
      <c r="B26" s="561"/>
      <c r="C26" s="561"/>
      <c r="D26" s="561"/>
      <c r="E26" s="561"/>
      <c r="F26" s="561"/>
      <c r="G26" s="561"/>
      <c r="H26" s="561" t="s">
        <v>1054</v>
      </c>
      <c r="I26" s="561"/>
      <c r="J26" s="561"/>
      <c r="K26" s="561"/>
      <c r="L26" s="561"/>
      <c r="M26" s="561"/>
      <c r="N26" s="431">
        <v>10</v>
      </c>
      <c r="O26" s="431" t="s">
        <v>1055</v>
      </c>
      <c r="P26" s="566">
        <f>U24</f>
        <v>0</v>
      </c>
      <c r="Q26" s="566"/>
      <c r="R26" s="566"/>
      <c r="S26" s="566" t="e">
        <f>ROUNDDOWN(S24*N26/100,0)</f>
        <v>#REF!</v>
      </c>
      <c r="T26" s="566"/>
      <c r="U26" s="566"/>
      <c r="V26" s="563"/>
      <c r="W26" s="563"/>
      <c r="X26" s="563"/>
      <c r="Y26" s="563"/>
      <c r="AA26" s="436"/>
      <c r="AD26" s="432"/>
    </row>
    <row r="27" spans="2:36" ht="17.100000000000001" hidden="1" customHeight="1">
      <c r="B27" s="567"/>
      <c r="C27" s="567"/>
      <c r="D27" s="567"/>
      <c r="E27" s="567"/>
      <c r="F27" s="567"/>
      <c r="G27" s="567"/>
      <c r="H27" s="567"/>
      <c r="I27" s="567"/>
      <c r="J27" s="567"/>
      <c r="K27" s="567"/>
      <c r="L27" s="567"/>
      <c r="M27" s="567"/>
      <c r="N27" s="433">
        <v>10</v>
      </c>
      <c r="O27" s="433" t="s">
        <v>1057</v>
      </c>
      <c r="P27" s="568"/>
      <c r="Q27" s="568"/>
      <c r="R27" s="568"/>
      <c r="S27" s="571" t="e">
        <f>K52</f>
        <v>#REF!</v>
      </c>
      <c r="T27" s="571"/>
      <c r="U27" s="571"/>
      <c r="V27" s="570"/>
      <c r="W27" s="570"/>
      <c r="X27" s="570"/>
      <c r="Y27" s="570"/>
      <c r="AD27" s="432"/>
    </row>
    <row r="28" spans="2:36" ht="17.100000000000001" hidden="1" customHeight="1">
      <c r="B28" s="561"/>
      <c r="C28" s="561"/>
      <c r="D28" s="561"/>
      <c r="E28" s="561"/>
      <c r="F28" s="561"/>
      <c r="G28" s="561"/>
      <c r="H28" s="561" t="s">
        <v>1058</v>
      </c>
      <c r="I28" s="561"/>
      <c r="J28" s="561"/>
      <c r="K28" s="561"/>
      <c r="L28" s="561"/>
      <c r="M28" s="561"/>
      <c r="N28" s="431"/>
      <c r="O28" s="431"/>
      <c r="P28" s="565"/>
      <c r="Q28" s="565"/>
      <c r="R28" s="565"/>
      <c r="S28" s="566" t="e">
        <f>S24+S26</f>
        <v>#REF!</v>
      </c>
      <c r="T28" s="566"/>
      <c r="U28" s="566"/>
      <c r="V28" s="563"/>
      <c r="W28" s="563"/>
      <c r="X28" s="563"/>
      <c r="Y28" s="563"/>
      <c r="AD28" s="432"/>
    </row>
    <row r="29" spans="2:36" ht="17.100000000000001" hidden="1" customHeight="1">
      <c r="B29" s="567"/>
      <c r="C29" s="567"/>
      <c r="D29" s="567"/>
      <c r="E29" s="567"/>
      <c r="F29" s="567"/>
      <c r="G29" s="567"/>
      <c r="H29" s="567"/>
      <c r="I29" s="567"/>
      <c r="J29" s="567"/>
      <c r="K29" s="567"/>
      <c r="L29" s="567"/>
      <c r="M29" s="567"/>
      <c r="N29" s="433"/>
      <c r="O29" s="433"/>
      <c r="P29" s="568"/>
      <c r="Q29" s="568"/>
      <c r="R29" s="568"/>
      <c r="S29" s="571" t="e">
        <f>S25+S27</f>
        <v>#REF!</v>
      </c>
      <c r="T29" s="571"/>
      <c r="U29" s="571"/>
      <c r="V29" s="570"/>
      <c r="W29" s="570"/>
      <c r="X29" s="570"/>
      <c r="Y29" s="570"/>
      <c r="AA29" s="436"/>
      <c r="AB29" s="434"/>
      <c r="AD29" s="432"/>
      <c r="AE29" s="429"/>
      <c r="AG29" s="429"/>
    </row>
    <row r="30" spans="2:36" ht="17.100000000000001" hidden="1" customHeight="1">
      <c r="B30" s="561"/>
      <c r="C30" s="561"/>
      <c r="D30" s="561"/>
      <c r="E30" s="561"/>
      <c r="F30" s="561"/>
      <c r="G30" s="561"/>
      <c r="H30" s="561"/>
      <c r="I30" s="561"/>
      <c r="J30" s="561"/>
      <c r="K30" s="561"/>
      <c r="L30" s="561"/>
      <c r="M30" s="561"/>
      <c r="N30" s="431"/>
      <c r="O30" s="431"/>
      <c r="P30" s="562"/>
      <c r="Q30" s="562"/>
      <c r="R30" s="562"/>
      <c r="S30" s="576"/>
      <c r="T30" s="576"/>
      <c r="U30" s="576"/>
      <c r="V30" s="563"/>
      <c r="W30" s="563"/>
      <c r="X30" s="563"/>
      <c r="Y30" s="563"/>
      <c r="AA30" s="436"/>
      <c r="AB30" s="434"/>
      <c r="AD30" s="432"/>
      <c r="AE30" s="429"/>
    </row>
    <row r="31" spans="2:36" ht="17.100000000000001" hidden="1" customHeight="1">
      <c r="B31" s="567"/>
      <c r="C31" s="567"/>
      <c r="D31" s="567"/>
      <c r="E31" s="567"/>
      <c r="F31" s="567"/>
      <c r="G31" s="567"/>
      <c r="H31" s="567"/>
      <c r="I31" s="567"/>
      <c r="J31" s="567"/>
      <c r="K31" s="567"/>
      <c r="L31" s="567"/>
      <c r="M31" s="567"/>
      <c r="N31" s="433"/>
      <c r="O31" s="433"/>
      <c r="P31" s="569"/>
      <c r="Q31" s="569"/>
      <c r="R31" s="569"/>
      <c r="S31" s="577"/>
      <c r="T31" s="577"/>
      <c r="U31" s="577"/>
      <c r="V31" s="570"/>
      <c r="W31" s="570"/>
      <c r="X31" s="570"/>
      <c r="Y31" s="570"/>
      <c r="AD31" s="432"/>
    </row>
    <row r="32" spans="2:36" ht="17.100000000000001" hidden="1" customHeight="1">
      <c r="B32" s="561"/>
      <c r="C32" s="561"/>
      <c r="D32" s="561"/>
      <c r="E32" s="561"/>
      <c r="F32" s="561"/>
      <c r="G32" s="561"/>
      <c r="H32" s="561"/>
      <c r="I32" s="561"/>
      <c r="J32" s="561"/>
      <c r="K32" s="561"/>
      <c r="L32" s="561"/>
      <c r="M32" s="561"/>
      <c r="N32" s="431"/>
      <c r="O32" s="431"/>
      <c r="P32" s="565"/>
      <c r="Q32" s="565"/>
      <c r="R32" s="565"/>
      <c r="S32" s="562"/>
      <c r="T32" s="562"/>
      <c r="U32" s="562"/>
      <c r="V32" s="563"/>
      <c r="W32" s="563"/>
      <c r="X32" s="563"/>
      <c r="Y32" s="563"/>
    </row>
    <row r="33" spans="2:25" ht="17.100000000000001" hidden="1" customHeight="1">
      <c r="B33" s="567"/>
      <c r="C33" s="567"/>
      <c r="D33" s="567"/>
      <c r="E33" s="567"/>
      <c r="F33" s="567"/>
      <c r="G33" s="567"/>
      <c r="H33" s="567"/>
      <c r="I33" s="567"/>
      <c r="J33" s="567"/>
      <c r="K33" s="567"/>
      <c r="L33" s="567"/>
      <c r="M33" s="567"/>
      <c r="N33" s="433"/>
      <c r="O33" s="433"/>
      <c r="P33" s="568"/>
      <c r="Q33" s="568"/>
      <c r="R33" s="568"/>
      <c r="S33" s="569"/>
      <c r="T33" s="569"/>
      <c r="U33" s="569"/>
      <c r="V33" s="570"/>
      <c r="W33" s="570"/>
      <c r="X33" s="570"/>
      <c r="Y33" s="570"/>
    </row>
    <row r="34" spans="2:25" ht="17.100000000000001" customHeight="1">
      <c r="B34" s="578" t="s">
        <v>1059</v>
      </c>
      <c r="C34" s="579"/>
      <c r="D34" s="579"/>
      <c r="E34" s="579"/>
      <c r="F34" s="579"/>
      <c r="G34" s="579"/>
      <c r="H34" s="579"/>
      <c r="I34" s="579"/>
      <c r="J34" s="579"/>
      <c r="K34" s="579"/>
      <c r="L34" s="579"/>
      <c r="M34" s="579"/>
      <c r="N34" s="579"/>
      <c r="O34" s="579"/>
      <c r="P34" s="579"/>
      <c r="Q34" s="579"/>
      <c r="R34" s="579"/>
      <c r="S34" s="579"/>
      <c r="T34" s="579"/>
      <c r="U34" s="579"/>
      <c r="V34" s="579"/>
      <c r="W34" s="579"/>
      <c r="X34" s="579"/>
      <c r="Y34" s="580"/>
    </row>
    <row r="35" spans="2:25" ht="17.100000000000001" customHeight="1">
      <c r="B35" s="581"/>
      <c r="C35" s="582"/>
      <c r="D35" s="582"/>
      <c r="E35" s="582"/>
      <c r="F35" s="582"/>
      <c r="G35" s="582"/>
      <c r="H35" s="582"/>
      <c r="I35" s="582"/>
      <c r="J35" s="582"/>
      <c r="K35" s="582"/>
      <c r="L35" s="582"/>
      <c r="M35" s="582"/>
      <c r="N35" s="582"/>
      <c r="O35" s="582"/>
      <c r="P35" s="582"/>
      <c r="Q35" s="582"/>
      <c r="R35" s="582"/>
      <c r="S35" s="582"/>
      <c r="T35" s="582"/>
      <c r="U35" s="582"/>
      <c r="V35" s="582"/>
      <c r="W35" s="582"/>
      <c r="X35" s="582"/>
      <c r="Y35" s="583"/>
    </row>
    <row r="36" spans="2:25" ht="17.100000000000001" customHeight="1">
      <c r="B36" s="584"/>
      <c r="C36" s="585"/>
      <c r="D36" s="585"/>
      <c r="E36" s="585"/>
      <c r="F36" s="585"/>
      <c r="G36" s="585"/>
      <c r="H36" s="585"/>
      <c r="I36" s="585"/>
      <c r="J36" s="585"/>
      <c r="K36" s="585"/>
      <c r="L36" s="585"/>
      <c r="M36" s="585"/>
      <c r="N36" s="585"/>
      <c r="O36" s="585"/>
      <c r="P36" s="585"/>
      <c r="Q36" s="585"/>
      <c r="R36" s="585"/>
      <c r="S36" s="585"/>
      <c r="T36" s="585"/>
      <c r="U36" s="585"/>
      <c r="V36" s="585"/>
      <c r="W36" s="585"/>
      <c r="X36" s="585"/>
      <c r="Y36" s="586"/>
    </row>
    <row r="37" spans="2:25" ht="17.100000000000001" customHeight="1">
      <c r="B37" s="437"/>
      <c r="H37" s="438"/>
      <c r="I37" s="438"/>
      <c r="Q37" s="432"/>
      <c r="Y37" s="439"/>
    </row>
    <row r="38" spans="2:25" ht="17.100000000000001" customHeight="1">
      <c r="B38" s="440"/>
      <c r="C38" s="429"/>
      <c r="D38" s="429"/>
      <c r="E38" s="429"/>
      <c r="H38" s="438"/>
      <c r="I38" s="438"/>
      <c r="Y38" s="439"/>
    </row>
    <row r="39" spans="2:25" ht="17.100000000000001" customHeight="1">
      <c r="B39" s="437"/>
      <c r="D39" s="441"/>
      <c r="F39" s="428"/>
      <c r="G39" s="428"/>
      <c r="H39" s="428"/>
      <c r="I39" s="428"/>
      <c r="M39" s="442"/>
      <c r="Q39" s="432"/>
      <c r="Y39" s="439"/>
    </row>
    <row r="40" spans="2:25" ht="17.100000000000001" customHeight="1">
      <c r="B40" s="437"/>
      <c r="D40" s="587" t="s">
        <v>1060</v>
      </c>
      <c r="E40" s="587"/>
      <c r="F40" s="587"/>
      <c r="G40" s="587"/>
      <c r="H40" s="587"/>
      <c r="I40" s="587"/>
      <c r="J40" s="443" t="s">
        <v>1061</v>
      </c>
      <c r="K40" s="588">
        <v>16071000</v>
      </c>
      <c r="L40" s="588"/>
      <c r="M40" s="588"/>
      <c r="N40" s="588"/>
      <c r="O40" s="588"/>
      <c r="P40" s="444" t="s">
        <v>1062</v>
      </c>
      <c r="Q40" s="430"/>
      <c r="R40" s="429"/>
      <c r="V40" s="429"/>
      <c r="W40" s="429"/>
      <c r="Y40" s="439"/>
    </row>
    <row r="41" spans="2:25" ht="17.100000000000001" customHeight="1">
      <c r="B41" s="437"/>
      <c r="D41" s="441"/>
      <c r="F41" s="428"/>
      <c r="G41" s="428"/>
      <c r="H41" s="428"/>
      <c r="I41" s="428"/>
      <c r="J41" s="443"/>
      <c r="M41" s="429"/>
      <c r="N41" s="429"/>
      <c r="O41" s="438"/>
      <c r="Q41" s="432"/>
      <c r="Y41" s="439"/>
    </row>
    <row r="42" spans="2:25" ht="17.100000000000001" customHeight="1">
      <c r="B42" s="437"/>
      <c r="D42" s="587" t="s">
        <v>1063</v>
      </c>
      <c r="E42" s="587"/>
      <c r="F42" s="587"/>
      <c r="G42" s="587"/>
      <c r="H42" s="587"/>
      <c r="I42" s="587"/>
      <c r="J42" s="443" t="s">
        <v>1064</v>
      </c>
      <c r="K42" s="589" t="e">
        <f>'本工事費内訳書 '!#REF!</f>
        <v>#REF!</v>
      </c>
      <c r="L42" s="589"/>
      <c r="M42" s="589"/>
      <c r="N42" s="589"/>
      <c r="O42" s="589"/>
      <c r="P42" s="444" t="s">
        <v>1062</v>
      </c>
      <c r="Q42" s="432"/>
      <c r="V42" s="432"/>
      <c r="W42" s="429"/>
      <c r="Y42" s="439"/>
    </row>
    <row r="43" spans="2:25" ht="17.100000000000001" customHeight="1">
      <c r="B43" s="437"/>
      <c r="D43" s="441"/>
      <c r="F43" s="428"/>
      <c r="G43" s="428"/>
      <c r="H43" s="428"/>
      <c r="I43" s="428"/>
      <c r="J43" s="443"/>
      <c r="M43" s="429"/>
      <c r="N43" s="429"/>
      <c r="O43" s="438"/>
      <c r="P43" s="429"/>
      <c r="Q43" s="432"/>
      <c r="V43" s="432"/>
      <c r="W43" s="429"/>
      <c r="Y43" s="439"/>
    </row>
    <row r="44" spans="2:25" ht="17.100000000000001" customHeight="1">
      <c r="B44" s="437"/>
      <c r="C44" s="441"/>
      <c r="D44" s="587" t="s">
        <v>1065</v>
      </c>
      <c r="E44" s="587"/>
      <c r="F44" s="587"/>
      <c r="G44" s="587"/>
      <c r="H44" s="587"/>
      <c r="I44" s="587"/>
      <c r="J44" s="443" t="s">
        <v>1064</v>
      </c>
      <c r="K44" s="588" t="e">
        <f>'補単内訳書 '!AB27</f>
        <v>#REF!</v>
      </c>
      <c r="L44" s="588"/>
      <c r="M44" s="588"/>
      <c r="N44" s="588"/>
      <c r="O44" s="588"/>
      <c r="P44" s="444" t="s">
        <v>1062</v>
      </c>
      <c r="Q44" s="432"/>
      <c r="Y44" s="439"/>
    </row>
    <row r="45" spans="2:25" ht="17.100000000000001" customHeight="1">
      <c r="B45" s="440"/>
      <c r="C45" s="429"/>
      <c r="E45" s="429"/>
      <c r="H45" s="438"/>
      <c r="I45" s="438"/>
      <c r="J45" s="445"/>
      <c r="Y45" s="439"/>
    </row>
    <row r="46" spans="2:25" ht="17.100000000000001" customHeight="1">
      <c r="B46" s="437"/>
      <c r="C46" s="441"/>
      <c r="D46" s="441"/>
      <c r="E46" s="443"/>
      <c r="H46" s="438"/>
      <c r="I46" s="438"/>
      <c r="N46" s="436"/>
      <c r="O46" s="429"/>
      <c r="Q46" s="432"/>
      <c r="Y46" s="439"/>
    </row>
    <row r="47" spans="2:25" ht="17.100000000000001" customHeight="1">
      <c r="B47" s="437"/>
      <c r="C47" s="591" t="s">
        <v>1066</v>
      </c>
      <c r="D47" s="591"/>
      <c r="E47" s="591"/>
      <c r="F47" s="591"/>
      <c r="G47" s="591"/>
      <c r="H47" s="591"/>
      <c r="I47" s="591"/>
      <c r="J47" s="591"/>
      <c r="K47" s="591"/>
      <c r="L47" s="591"/>
      <c r="M47" s="591"/>
      <c r="N47" s="591"/>
      <c r="O47" s="591"/>
      <c r="P47" s="591"/>
      <c r="Q47" s="432"/>
      <c r="Y47" s="439"/>
    </row>
    <row r="48" spans="2:25" ht="17.100000000000001" customHeight="1">
      <c r="B48" s="437"/>
      <c r="C48" s="591"/>
      <c r="D48" s="591"/>
      <c r="E48" s="591"/>
      <c r="F48" s="591"/>
      <c r="G48" s="591"/>
      <c r="H48" s="591"/>
      <c r="I48" s="591"/>
      <c r="J48" s="591"/>
      <c r="K48" s="591"/>
      <c r="L48" s="591"/>
      <c r="M48" s="591"/>
      <c r="N48" s="591"/>
      <c r="O48" s="591"/>
      <c r="P48" s="591"/>
      <c r="Q48" s="432"/>
      <c r="U48" s="429" t="s">
        <v>1067</v>
      </c>
      <c r="V48" s="429" t="s">
        <v>1068</v>
      </c>
      <c r="Y48" s="439"/>
    </row>
    <row r="49" spans="2:25" ht="17.100000000000001" customHeight="1">
      <c r="B49" s="437"/>
      <c r="C49" s="441"/>
      <c r="D49" s="441"/>
      <c r="E49" s="443"/>
      <c r="H49" s="438"/>
      <c r="I49" s="438"/>
      <c r="Q49" s="432"/>
      <c r="Y49" s="439"/>
    </row>
    <row r="50" spans="2:25" ht="17.100000000000001" customHeight="1">
      <c r="B50" s="437"/>
      <c r="D50" s="590" t="s">
        <v>1069</v>
      </c>
      <c r="E50" s="590"/>
      <c r="F50" s="590"/>
      <c r="G50" s="590"/>
      <c r="H50" s="590"/>
      <c r="I50" s="590"/>
      <c r="J50" s="443" t="s">
        <v>1070</v>
      </c>
      <c r="K50" s="589" t="e">
        <f>Q60</f>
        <v>#REF!</v>
      </c>
      <c r="L50" s="589"/>
      <c r="M50" s="589"/>
      <c r="N50" s="589"/>
      <c r="O50" s="589"/>
      <c r="P50" s="444" t="s">
        <v>1062</v>
      </c>
      <c r="Q50" s="432"/>
      <c r="R50" s="589" t="e">
        <f>K50-K42/1.1</f>
        <v>#REF!</v>
      </c>
      <c r="S50" s="589"/>
      <c r="T50" s="589"/>
      <c r="U50" s="589"/>
      <c r="V50" s="589"/>
      <c r="W50" s="444" t="s">
        <v>1062</v>
      </c>
      <c r="Y50" s="439"/>
    </row>
    <row r="51" spans="2:25" ht="17.100000000000001" customHeight="1">
      <c r="B51" s="437"/>
      <c r="D51" s="441"/>
      <c r="H51" s="428"/>
      <c r="J51" s="443"/>
      <c r="K51" s="429"/>
      <c r="L51" s="429"/>
      <c r="M51" s="438"/>
      <c r="N51" s="438"/>
      <c r="O51" s="438"/>
      <c r="Q51" s="432"/>
      <c r="Y51" s="439"/>
    </row>
    <row r="52" spans="2:25" ht="17.100000000000001" customHeight="1">
      <c r="B52" s="437"/>
      <c r="D52" s="590" t="s">
        <v>1071</v>
      </c>
      <c r="E52" s="590"/>
      <c r="F52" s="590"/>
      <c r="G52" s="590"/>
      <c r="H52" s="590"/>
      <c r="I52" s="590"/>
      <c r="J52" s="443" t="s">
        <v>1064</v>
      </c>
      <c r="K52" s="589" t="e">
        <f>K50*0.1</f>
        <v>#REF!</v>
      </c>
      <c r="L52" s="589"/>
      <c r="M52" s="589"/>
      <c r="N52" s="589"/>
      <c r="O52" s="589"/>
      <c r="P52" s="444" t="s">
        <v>1062</v>
      </c>
      <c r="R52" s="589" t="e">
        <f>K52-K42/1.1*0.1</f>
        <v>#REF!</v>
      </c>
      <c r="S52" s="589"/>
      <c r="T52" s="589"/>
      <c r="U52" s="589"/>
      <c r="V52" s="589"/>
      <c r="W52" s="444" t="s">
        <v>1062</v>
      </c>
      <c r="Y52" s="439"/>
    </row>
    <row r="53" spans="2:25" ht="17.100000000000001" customHeight="1">
      <c r="B53" s="437"/>
      <c r="D53" s="441"/>
      <c r="H53" s="428"/>
      <c r="J53" s="443"/>
      <c r="K53" s="429"/>
      <c r="L53" s="429"/>
      <c r="M53" s="438"/>
      <c r="N53" s="438"/>
      <c r="O53" s="438"/>
      <c r="P53" s="429"/>
      <c r="Q53" s="432"/>
      <c r="R53" s="429"/>
      <c r="T53" s="429"/>
      <c r="W53" s="429"/>
      <c r="Y53" s="439"/>
    </row>
    <row r="54" spans="2:25" ht="17.100000000000001" customHeight="1">
      <c r="B54" s="437"/>
      <c r="D54" s="590" t="s">
        <v>1072</v>
      </c>
      <c r="E54" s="590"/>
      <c r="F54" s="590"/>
      <c r="G54" s="590"/>
      <c r="H54" s="590"/>
      <c r="I54" s="590"/>
      <c r="J54" s="443" t="s">
        <v>1064</v>
      </c>
      <c r="K54" s="589" t="e">
        <f>K50+K52</f>
        <v>#REF!</v>
      </c>
      <c r="L54" s="589"/>
      <c r="M54" s="589"/>
      <c r="N54" s="589"/>
      <c r="O54" s="589"/>
      <c r="P54" s="444" t="s">
        <v>1062</v>
      </c>
      <c r="Q54" s="432"/>
      <c r="R54" s="588" t="e">
        <f>R50+R52</f>
        <v>#REF!</v>
      </c>
      <c r="S54" s="588"/>
      <c r="T54" s="588"/>
      <c r="U54" s="588"/>
      <c r="V54" s="588"/>
      <c r="W54" s="444" t="s">
        <v>1062</v>
      </c>
      <c r="Y54" s="439"/>
    </row>
    <row r="55" spans="2:25" ht="17.100000000000001" customHeight="1">
      <c r="B55" s="437"/>
      <c r="H55" s="438"/>
      <c r="I55" s="438"/>
      <c r="J55" s="446"/>
      <c r="Y55" s="439"/>
    </row>
    <row r="56" spans="2:25" ht="17.100000000000001" customHeight="1">
      <c r="B56" s="440"/>
      <c r="C56" s="429"/>
      <c r="D56" s="429"/>
      <c r="E56" s="429"/>
      <c r="H56" s="438"/>
      <c r="I56" s="438"/>
      <c r="J56" s="445"/>
      <c r="T56" s="429"/>
      <c r="Y56" s="439"/>
    </row>
    <row r="57" spans="2:25" ht="17.100000000000001" customHeight="1">
      <c r="B57" s="440"/>
      <c r="C57" s="429"/>
      <c r="D57" s="593" t="s">
        <v>1073</v>
      </c>
      <c r="E57" s="593"/>
      <c r="F57" s="593"/>
      <c r="G57" s="593"/>
      <c r="H57" s="593"/>
      <c r="I57" s="593"/>
      <c r="J57" s="593" t="s">
        <v>1075</v>
      </c>
      <c r="K57" s="595" t="s">
        <v>1076</v>
      </c>
      <c r="L57" s="595"/>
      <c r="M57" s="595"/>
      <c r="N57" s="595"/>
      <c r="O57" s="595"/>
      <c r="P57" s="593" t="s">
        <v>1064</v>
      </c>
      <c r="Q57" s="593" t="s">
        <v>1077</v>
      </c>
      <c r="R57" s="593"/>
      <c r="S57" s="593"/>
      <c r="T57" s="593"/>
      <c r="U57" s="593"/>
      <c r="Y57" s="439"/>
    </row>
    <row r="58" spans="2:25" ht="17.100000000000001" customHeight="1">
      <c r="B58" s="440"/>
      <c r="D58" s="593"/>
      <c r="E58" s="593"/>
      <c r="F58" s="593"/>
      <c r="G58" s="593"/>
      <c r="H58" s="593"/>
      <c r="I58" s="593"/>
      <c r="J58" s="593"/>
      <c r="K58" s="593" t="s">
        <v>1078</v>
      </c>
      <c r="L58" s="593"/>
      <c r="M58" s="593"/>
      <c r="N58" s="593"/>
      <c r="O58" s="593"/>
      <c r="P58" s="593"/>
      <c r="Q58" s="593"/>
      <c r="R58" s="593"/>
      <c r="S58" s="593"/>
      <c r="T58" s="593"/>
      <c r="U58" s="593"/>
      <c r="Y58" s="439"/>
    </row>
    <row r="59" spans="2:25" ht="17.100000000000001" customHeight="1">
      <c r="B59" s="437"/>
      <c r="Y59" s="439"/>
    </row>
    <row r="60" spans="2:25" ht="17.100000000000001" customHeight="1">
      <c r="B60" s="437"/>
      <c r="D60" s="592" t="e">
        <f>K44</f>
        <v>#REF!</v>
      </c>
      <c r="E60" s="592"/>
      <c r="F60" s="592"/>
      <c r="G60" s="592"/>
      <c r="H60" s="592"/>
      <c r="I60" s="592"/>
      <c r="J60" s="593" t="s">
        <v>1074</v>
      </c>
      <c r="K60" s="594" t="e">
        <f>K42</f>
        <v>#REF!</v>
      </c>
      <c r="L60" s="594"/>
      <c r="M60" s="594"/>
      <c r="N60" s="594"/>
      <c r="O60" s="594"/>
      <c r="P60" s="593" t="s">
        <v>1064</v>
      </c>
      <c r="Q60" s="592" t="e">
        <f>ROUNDDOWN(D60*K60/K61,-3)</f>
        <v>#REF!</v>
      </c>
      <c r="R60" s="592"/>
      <c r="S60" s="592"/>
      <c r="T60" s="592"/>
      <c r="U60" s="592"/>
      <c r="Y60" s="439"/>
    </row>
    <row r="61" spans="2:25" ht="17.100000000000001" customHeight="1">
      <c r="B61" s="437"/>
      <c r="D61" s="592"/>
      <c r="E61" s="592"/>
      <c r="F61" s="592"/>
      <c r="G61" s="592"/>
      <c r="H61" s="592"/>
      <c r="I61" s="592"/>
      <c r="J61" s="593"/>
      <c r="K61" s="592">
        <f>K40</f>
        <v>16071000</v>
      </c>
      <c r="L61" s="592"/>
      <c r="M61" s="592"/>
      <c r="N61" s="592"/>
      <c r="O61" s="592"/>
      <c r="P61" s="593"/>
      <c r="Q61" s="592"/>
      <c r="R61" s="592"/>
      <c r="S61" s="592"/>
      <c r="T61" s="592"/>
      <c r="U61" s="592"/>
      <c r="Y61" s="439"/>
    </row>
    <row r="62" spans="2:25" ht="17.100000000000001" customHeight="1">
      <c r="B62" s="437"/>
      <c r="E62" s="429"/>
      <c r="H62" s="438"/>
      <c r="R62" s="429"/>
      <c r="T62" s="429"/>
      <c r="W62" s="429"/>
      <c r="Y62" s="439"/>
    </row>
    <row r="63" spans="2:25" ht="17.100000000000001" customHeight="1">
      <c r="B63" s="440"/>
      <c r="C63" s="429"/>
      <c r="D63" s="429"/>
      <c r="E63" s="429"/>
      <c r="H63" s="438"/>
      <c r="I63" s="438"/>
      <c r="Y63" s="439"/>
    </row>
    <row r="64" spans="2:25" ht="17.100000000000001" customHeight="1">
      <c r="B64" s="447"/>
      <c r="C64" s="448"/>
      <c r="D64" s="448"/>
      <c r="E64" s="449"/>
      <c r="F64" s="449"/>
      <c r="G64" s="449"/>
      <c r="H64" s="450"/>
      <c r="I64" s="450"/>
      <c r="J64" s="449"/>
      <c r="K64" s="448"/>
      <c r="L64" s="448"/>
      <c r="M64" s="448"/>
      <c r="N64" s="451"/>
      <c r="O64" s="452"/>
      <c r="P64" s="448"/>
      <c r="Q64" s="448"/>
      <c r="R64" s="449"/>
      <c r="S64" s="448"/>
      <c r="T64" s="449"/>
      <c r="U64" s="448"/>
      <c r="V64" s="448"/>
      <c r="W64" s="448"/>
      <c r="X64" s="448"/>
      <c r="Y64" s="453"/>
    </row>
    <row r="65" spans="8:14" ht="17.100000000000001" customHeight="1">
      <c r="H65" s="438"/>
      <c r="I65" s="438"/>
      <c r="N65" s="436"/>
    </row>
    <row r="66" spans="8:14" ht="17.100000000000001" customHeight="1">
      <c r="H66" s="438"/>
      <c r="I66" s="438"/>
    </row>
  </sheetData>
  <mergeCells count="238">
    <mergeCell ref="D60:I61"/>
    <mergeCell ref="J60:J61"/>
    <mergeCell ref="K60:O60"/>
    <mergeCell ref="P60:P61"/>
    <mergeCell ref="Q60:U61"/>
    <mergeCell ref="K61:O61"/>
    <mergeCell ref="D57:I58"/>
    <mergeCell ref="J57:J58"/>
    <mergeCell ref="K57:O57"/>
    <mergeCell ref="P57:P58"/>
    <mergeCell ref="Q57:U58"/>
    <mergeCell ref="K58:O58"/>
    <mergeCell ref="D52:I52"/>
    <mergeCell ref="K52:O52"/>
    <mergeCell ref="R52:V52"/>
    <mergeCell ref="D54:I54"/>
    <mergeCell ref="K54:O54"/>
    <mergeCell ref="R54:V54"/>
    <mergeCell ref="D44:I44"/>
    <mergeCell ref="K44:O44"/>
    <mergeCell ref="C47:P48"/>
    <mergeCell ref="D50:I50"/>
    <mergeCell ref="K50:O50"/>
    <mergeCell ref="R50:V50"/>
    <mergeCell ref="V33:Y33"/>
    <mergeCell ref="B34:Y36"/>
    <mergeCell ref="D40:I40"/>
    <mergeCell ref="K40:O40"/>
    <mergeCell ref="D42:I42"/>
    <mergeCell ref="K42:O42"/>
    <mergeCell ref="B33:D33"/>
    <mergeCell ref="E33:G33"/>
    <mergeCell ref="H33:J33"/>
    <mergeCell ref="K33:M33"/>
    <mergeCell ref="P33:R33"/>
    <mergeCell ref="S33:U33"/>
    <mergeCell ref="V31:Y31"/>
    <mergeCell ref="B32:D32"/>
    <mergeCell ref="E32:G32"/>
    <mergeCell ref="H32:J32"/>
    <mergeCell ref="K32:M32"/>
    <mergeCell ref="P32:R32"/>
    <mergeCell ref="S32:U32"/>
    <mergeCell ref="V32:Y32"/>
    <mergeCell ref="B31:D31"/>
    <mergeCell ref="E31:G31"/>
    <mergeCell ref="H31:J31"/>
    <mergeCell ref="K31:M31"/>
    <mergeCell ref="P31:R31"/>
    <mergeCell ref="S31:U31"/>
    <mergeCell ref="V29:Y29"/>
    <mergeCell ref="B30:D30"/>
    <mergeCell ref="E30:G30"/>
    <mergeCell ref="H30:J30"/>
    <mergeCell ref="K30:M30"/>
    <mergeCell ref="P30:R30"/>
    <mergeCell ref="S30:U30"/>
    <mergeCell ref="V30:Y30"/>
    <mergeCell ref="B29:D29"/>
    <mergeCell ref="E29:G29"/>
    <mergeCell ref="H29:J29"/>
    <mergeCell ref="K29:M29"/>
    <mergeCell ref="P29:R29"/>
    <mergeCell ref="S29:U29"/>
    <mergeCell ref="V27:Y27"/>
    <mergeCell ref="B28:D28"/>
    <mergeCell ref="E28:G28"/>
    <mergeCell ref="H28:J28"/>
    <mergeCell ref="K28:M28"/>
    <mergeCell ref="P28:R28"/>
    <mergeCell ref="S28:U28"/>
    <mergeCell ref="V28:Y28"/>
    <mergeCell ref="B27:D27"/>
    <mergeCell ref="E27:G27"/>
    <mergeCell ref="H27:J27"/>
    <mergeCell ref="K27:M27"/>
    <mergeCell ref="P27:R27"/>
    <mergeCell ref="S27:U27"/>
    <mergeCell ref="V25:Y25"/>
    <mergeCell ref="B26:D26"/>
    <mergeCell ref="E26:G26"/>
    <mergeCell ref="H26:J26"/>
    <mergeCell ref="K26:M26"/>
    <mergeCell ref="P26:R26"/>
    <mergeCell ref="S26:U26"/>
    <mergeCell ref="V26:Y26"/>
    <mergeCell ref="B25:D25"/>
    <mergeCell ref="E25:G25"/>
    <mergeCell ref="H25:J25"/>
    <mergeCell ref="K25:M25"/>
    <mergeCell ref="P25:R25"/>
    <mergeCell ref="S25:U25"/>
    <mergeCell ref="V23:Y23"/>
    <mergeCell ref="B24:D24"/>
    <mergeCell ref="E24:G24"/>
    <mergeCell ref="H24:J24"/>
    <mergeCell ref="K24:M24"/>
    <mergeCell ref="P24:R24"/>
    <mergeCell ref="S24:U24"/>
    <mergeCell ref="V24:Y24"/>
    <mergeCell ref="B23:D23"/>
    <mergeCell ref="E23:G23"/>
    <mergeCell ref="H23:J23"/>
    <mergeCell ref="K23:M23"/>
    <mergeCell ref="P23:R23"/>
    <mergeCell ref="S23:U23"/>
    <mergeCell ref="V21:Y21"/>
    <mergeCell ref="B22:D22"/>
    <mergeCell ref="E22:G22"/>
    <mergeCell ref="H22:J22"/>
    <mergeCell ref="K22:M22"/>
    <mergeCell ref="P22:R22"/>
    <mergeCell ref="S22:U22"/>
    <mergeCell ref="V22:Y22"/>
    <mergeCell ref="B21:D21"/>
    <mergeCell ref="E21:G21"/>
    <mergeCell ref="H21:J21"/>
    <mergeCell ref="K21:M21"/>
    <mergeCell ref="P21:R21"/>
    <mergeCell ref="S21:U21"/>
    <mergeCell ref="V19:Y19"/>
    <mergeCell ref="B20:D20"/>
    <mergeCell ref="E20:G20"/>
    <mergeCell ref="H20:J20"/>
    <mergeCell ref="K20:M20"/>
    <mergeCell ref="P20:R20"/>
    <mergeCell ref="S20:U20"/>
    <mergeCell ref="V20:Y20"/>
    <mergeCell ref="B19:D19"/>
    <mergeCell ref="E19:G19"/>
    <mergeCell ref="H19:J19"/>
    <mergeCell ref="K19:M19"/>
    <mergeCell ref="P19:R19"/>
    <mergeCell ref="S19:U19"/>
    <mergeCell ref="V17:Y17"/>
    <mergeCell ref="B18:D18"/>
    <mergeCell ref="E18:G18"/>
    <mergeCell ref="H18:J18"/>
    <mergeCell ref="K18:M18"/>
    <mergeCell ref="P18:R18"/>
    <mergeCell ref="S18:U18"/>
    <mergeCell ref="V18:Y18"/>
    <mergeCell ref="B17:D17"/>
    <mergeCell ref="E17:G17"/>
    <mergeCell ref="H17:J17"/>
    <mergeCell ref="K17:M17"/>
    <mergeCell ref="P17:R17"/>
    <mergeCell ref="S17:U17"/>
    <mergeCell ref="V15:Y15"/>
    <mergeCell ref="B16:D16"/>
    <mergeCell ref="E16:G16"/>
    <mergeCell ref="H16:J16"/>
    <mergeCell ref="K16:M16"/>
    <mergeCell ref="P16:R16"/>
    <mergeCell ref="S16:U16"/>
    <mergeCell ref="V16:Y16"/>
    <mergeCell ref="B15:D15"/>
    <mergeCell ref="E15:G15"/>
    <mergeCell ref="H15:J15"/>
    <mergeCell ref="K15:M15"/>
    <mergeCell ref="P15:R15"/>
    <mergeCell ref="S15:U15"/>
    <mergeCell ref="V13:Y13"/>
    <mergeCell ref="B14:D14"/>
    <mergeCell ref="E14:G14"/>
    <mergeCell ref="H14:J14"/>
    <mergeCell ref="K14:M14"/>
    <mergeCell ref="P14:R14"/>
    <mergeCell ref="S14:U14"/>
    <mergeCell ref="V14:Y14"/>
    <mergeCell ref="B13:D13"/>
    <mergeCell ref="E13:G13"/>
    <mergeCell ref="H13:J13"/>
    <mergeCell ref="K13:M13"/>
    <mergeCell ref="P13:R13"/>
    <mergeCell ref="S13:U13"/>
    <mergeCell ref="V11:Y11"/>
    <mergeCell ref="B12:D12"/>
    <mergeCell ref="E12:G12"/>
    <mergeCell ref="H12:J12"/>
    <mergeCell ref="K12:M12"/>
    <mergeCell ref="P12:R12"/>
    <mergeCell ref="S12:U12"/>
    <mergeCell ref="V12:Y12"/>
    <mergeCell ref="B11:D11"/>
    <mergeCell ref="E11:G11"/>
    <mergeCell ref="H11:J11"/>
    <mergeCell ref="K11:M11"/>
    <mergeCell ref="P11:R11"/>
    <mergeCell ref="S11:U11"/>
    <mergeCell ref="V9:Y9"/>
    <mergeCell ref="B10:D10"/>
    <mergeCell ref="E10:G10"/>
    <mergeCell ref="H10:J10"/>
    <mergeCell ref="K10:M10"/>
    <mergeCell ref="P10:R10"/>
    <mergeCell ref="S10:U10"/>
    <mergeCell ref="V10:Y10"/>
    <mergeCell ref="B9:D9"/>
    <mergeCell ref="E9:G9"/>
    <mergeCell ref="H9:J9"/>
    <mergeCell ref="K9:M9"/>
    <mergeCell ref="P9:R9"/>
    <mergeCell ref="S9:U9"/>
    <mergeCell ref="B6:D6"/>
    <mergeCell ref="E6:G6"/>
    <mergeCell ref="H6:J6"/>
    <mergeCell ref="K6:M6"/>
    <mergeCell ref="P6:R6"/>
    <mergeCell ref="S6:U6"/>
    <mergeCell ref="V6:Y6"/>
    <mergeCell ref="V7:Y7"/>
    <mergeCell ref="B8:D8"/>
    <mergeCell ref="E8:G8"/>
    <mergeCell ref="H8:J8"/>
    <mergeCell ref="K8:M8"/>
    <mergeCell ref="P8:R8"/>
    <mergeCell ref="S8:U8"/>
    <mergeCell ref="V8:Y8"/>
    <mergeCell ref="B7:D7"/>
    <mergeCell ref="E7:G7"/>
    <mergeCell ref="H7:J7"/>
    <mergeCell ref="K7:M7"/>
    <mergeCell ref="P7:R7"/>
    <mergeCell ref="S7:U7"/>
    <mergeCell ref="A1:C2"/>
    <mergeCell ref="D1:Y2"/>
    <mergeCell ref="B3:R3"/>
    <mergeCell ref="S3:Y3"/>
    <mergeCell ref="B4:D5"/>
    <mergeCell ref="E4:G5"/>
    <mergeCell ref="H4:J5"/>
    <mergeCell ref="K4:M5"/>
    <mergeCell ref="N4:N5"/>
    <mergeCell ref="O4:O5"/>
    <mergeCell ref="P4:R5"/>
    <mergeCell ref="S4:U5"/>
    <mergeCell ref="V4:Y5"/>
  </mergeCells>
  <phoneticPr fontId="3"/>
  <hyperlinks>
    <hyperlink ref="A1" location="Menu!A1" display="ＭＥＮＵ" xr:uid="{00000000-0004-0000-0900-000000000000}"/>
  </hyperlinks>
  <printOptions horizontalCentered="1" verticalCentered="1"/>
  <pageMargins left="0.59055118110236227" right="0.59055118110236227" top="0.78740157480314965" bottom="0.78740157480314965" header="0" footer="0"/>
  <pageSetup paperSize="9" scale="91" orientation="landscape" r:id="rId1"/>
  <headerFooter alignWithMargins="0"/>
  <rowBreaks count="1" manualBreakCount="1">
    <brk id="33" min="1"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2:AW78"/>
  <sheetViews>
    <sheetView showGridLines="0" view="pageBreakPreview" topLeftCell="A16" zoomScale="60" zoomScaleNormal="100" workbookViewId="0">
      <selection activeCell="BO60" sqref="BO60"/>
    </sheetView>
  </sheetViews>
  <sheetFormatPr defaultRowHeight="18.75"/>
  <cols>
    <col min="1" max="48" width="2.625" customWidth="1"/>
  </cols>
  <sheetData>
    <row r="2" spans="1:48" ht="15" customHeight="1">
      <c r="A2" s="596" t="s">
        <v>443</v>
      </c>
      <c r="B2" s="536"/>
      <c r="C2" s="536"/>
      <c r="D2" s="536"/>
      <c r="E2" s="536"/>
      <c r="F2" s="536"/>
      <c r="G2" s="536"/>
      <c r="H2" s="536"/>
      <c r="I2" s="536"/>
      <c r="J2" s="536"/>
      <c r="K2" s="536"/>
      <c r="L2" s="536"/>
      <c r="M2" s="536"/>
      <c r="N2" s="536"/>
      <c r="O2" s="536"/>
      <c r="P2" s="536"/>
      <c r="Q2" s="536"/>
      <c r="R2" s="536"/>
      <c r="S2" s="536"/>
      <c r="T2" s="536"/>
      <c r="U2" s="536"/>
      <c r="V2" s="536"/>
      <c r="W2" s="536"/>
      <c r="X2" s="597"/>
      <c r="Y2" s="596" t="s">
        <v>444</v>
      </c>
      <c r="Z2" s="536"/>
      <c r="AA2" s="536"/>
      <c r="AB2" s="536"/>
      <c r="AC2" s="536"/>
      <c r="AD2" s="536"/>
      <c r="AE2" s="536"/>
      <c r="AF2" s="536"/>
      <c r="AG2" s="536"/>
      <c r="AH2" s="536"/>
      <c r="AI2" s="536"/>
      <c r="AJ2" s="536"/>
      <c r="AK2" s="536"/>
      <c r="AL2" s="536"/>
      <c r="AM2" s="536"/>
      <c r="AN2" s="536"/>
      <c r="AO2" s="536"/>
      <c r="AP2" s="536"/>
      <c r="AQ2" s="536"/>
      <c r="AR2" s="536"/>
      <c r="AS2" s="536"/>
      <c r="AT2" s="536"/>
      <c r="AU2" s="536"/>
      <c r="AV2" s="597"/>
    </row>
    <row r="3" spans="1:48" ht="15" customHeight="1" thickBot="1">
      <c r="A3" s="598"/>
      <c r="B3" s="599"/>
      <c r="C3" s="599"/>
      <c r="D3" s="599"/>
      <c r="E3" s="599"/>
      <c r="F3" s="599"/>
      <c r="G3" s="599"/>
      <c r="H3" s="599"/>
      <c r="I3" s="599"/>
      <c r="J3" s="599"/>
      <c r="K3" s="599"/>
      <c r="L3" s="599"/>
      <c r="M3" s="599"/>
      <c r="N3" s="599"/>
      <c r="O3" s="599"/>
      <c r="P3" s="599"/>
      <c r="Q3" s="599"/>
      <c r="R3" s="599"/>
      <c r="S3" s="599"/>
      <c r="T3" s="599"/>
      <c r="U3" s="599"/>
      <c r="V3" s="599"/>
      <c r="W3" s="599"/>
      <c r="X3" s="600"/>
      <c r="Y3" s="598"/>
      <c r="Z3" s="599"/>
      <c r="AA3" s="599"/>
      <c r="AB3" s="599"/>
      <c r="AC3" s="599"/>
      <c r="AD3" s="599"/>
      <c r="AE3" s="599"/>
      <c r="AF3" s="599"/>
      <c r="AG3" s="599"/>
      <c r="AH3" s="599"/>
      <c r="AI3" s="599"/>
      <c r="AJ3" s="599"/>
      <c r="AK3" s="599"/>
      <c r="AL3" s="599"/>
      <c r="AM3" s="599"/>
      <c r="AN3" s="599"/>
      <c r="AO3" s="599"/>
      <c r="AP3" s="599"/>
      <c r="AQ3" s="599"/>
      <c r="AR3" s="599"/>
      <c r="AS3" s="599"/>
      <c r="AT3" s="599"/>
      <c r="AU3" s="599"/>
      <c r="AV3" s="600"/>
    </row>
    <row r="4" spans="1:48" ht="15" customHeight="1" thickTop="1">
      <c r="A4" s="289"/>
      <c r="B4" s="50"/>
      <c r="C4" s="50"/>
      <c r="D4" s="50"/>
      <c r="E4" s="50"/>
      <c r="F4" s="50"/>
      <c r="G4" s="50"/>
      <c r="H4" s="50"/>
      <c r="I4" s="50"/>
      <c r="J4" s="50"/>
      <c r="K4" s="50"/>
      <c r="L4" s="50"/>
      <c r="M4" s="50"/>
      <c r="N4" s="50"/>
      <c r="O4" s="50"/>
      <c r="P4" s="50"/>
      <c r="Q4" s="50"/>
      <c r="R4" s="50"/>
      <c r="S4" s="50"/>
      <c r="T4" s="50"/>
      <c r="U4" s="50"/>
      <c r="V4" s="50"/>
      <c r="W4" s="50"/>
      <c r="X4" s="290"/>
      <c r="Y4" s="50"/>
      <c r="Z4" s="50"/>
      <c r="AA4" s="50"/>
      <c r="AB4" s="50"/>
      <c r="AC4" s="50"/>
      <c r="AD4" s="50"/>
      <c r="AE4" s="50"/>
      <c r="AF4" s="50"/>
      <c r="AG4" s="50"/>
      <c r="AH4" s="50"/>
      <c r="AI4" s="50"/>
      <c r="AJ4" s="50"/>
      <c r="AK4" s="50"/>
      <c r="AL4" s="50"/>
      <c r="AM4" s="50"/>
      <c r="AN4" s="50"/>
      <c r="AO4" s="50"/>
      <c r="AP4" s="50"/>
      <c r="AQ4" s="50"/>
      <c r="AR4" s="50"/>
      <c r="AS4" s="50"/>
      <c r="AT4" s="50"/>
      <c r="AU4" s="50"/>
      <c r="AV4" s="290"/>
    </row>
    <row r="5" spans="1:48" ht="15" customHeight="1">
      <c r="A5" s="160" t="s">
        <v>1104</v>
      </c>
      <c r="B5" s="291"/>
      <c r="C5" s="291"/>
      <c r="D5" s="291"/>
      <c r="E5" s="291"/>
      <c r="F5" s="291"/>
      <c r="G5" s="291"/>
      <c r="H5" s="291"/>
      <c r="I5" s="291"/>
      <c r="J5" s="291"/>
      <c r="K5" s="291"/>
      <c r="L5" s="291"/>
      <c r="M5" s="291"/>
      <c r="N5" s="291"/>
      <c r="O5" s="291"/>
      <c r="P5" s="291"/>
      <c r="Q5" s="291"/>
      <c r="R5" s="291"/>
      <c r="S5" s="291"/>
      <c r="T5" s="291"/>
      <c r="U5" s="291"/>
      <c r="V5" s="291"/>
      <c r="W5" s="291"/>
      <c r="X5" s="292"/>
      <c r="Y5" s="160"/>
      <c r="Z5" s="291"/>
      <c r="AA5" s="291"/>
      <c r="AB5" s="291"/>
      <c r="AC5" s="291"/>
      <c r="AD5" s="291"/>
      <c r="AE5" s="291"/>
      <c r="AF5" s="291"/>
      <c r="AG5" s="291"/>
      <c r="AH5" s="291"/>
      <c r="AI5" s="291"/>
      <c r="AJ5" s="291"/>
      <c r="AK5" s="291"/>
      <c r="AL5" s="291"/>
      <c r="AM5" s="291"/>
      <c r="AN5" s="291"/>
      <c r="AO5" s="291"/>
      <c r="AP5" s="291"/>
      <c r="AQ5" s="291"/>
      <c r="AR5" s="291"/>
      <c r="AS5" s="291"/>
      <c r="AT5" s="291"/>
      <c r="AU5" s="291"/>
      <c r="AV5" s="292"/>
    </row>
    <row r="6" spans="1:48" ht="15" customHeight="1">
      <c r="A6" s="457"/>
      <c r="B6" s="350"/>
      <c r="X6" s="292"/>
      <c r="Y6" s="160"/>
      <c r="Z6" s="291"/>
      <c r="AA6" s="291"/>
      <c r="AB6" s="291"/>
      <c r="AC6" s="291"/>
      <c r="AD6" s="291"/>
      <c r="AE6" s="291"/>
      <c r="AF6" s="291"/>
      <c r="AG6" s="291"/>
      <c r="AH6" s="291"/>
      <c r="AI6" s="291"/>
      <c r="AJ6" s="291"/>
      <c r="AK6" s="291"/>
      <c r="AL6" s="291"/>
      <c r="AM6" s="291"/>
      <c r="AN6" s="291"/>
      <c r="AO6" s="291"/>
      <c r="AP6" s="291"/>
      <c r="AQ6" s="291"/>
      <c r="AR6" s="291"/>
      <c r="AS6" s="291"/>
      <c r="AT6" s="291"/>
      <c r="AU6" s="291"/>
      <c r="AV6" s="292"/>
    </row>
    <row r="7" spans="1:48" ht="15" customHeight="1">
      <c r="A7" s="160"/>
      <c r="B7" s="291" t="s">
        <v>446</v>
      </c>
      <c r="C7" s="291"/>
      <c r="D7" s="291"/>
      <c r="E7" s="291"/>
      <c r="F7" s="291"/>
      <c r="G7" s="291"/>
      <c r="H7" s="291"/>
      <c r="I7" s="291"/>
      <c r="J7" s="291"/>
      <c r="K7" s="291"/>
      <c r="L7" s="291"/>
      <c r="M7" s="291"/>
      <c r="N7" s="291"/>
      <c r="O7" s="291"/>
      <c r="P7" s="291"/>
      <c r="Q7" s="291"/>
      <c r="R7" s="291"/>
      <c r="S7" s="291"/>
      <c r="T7" s="291"/>
      <c r="U7" s="291"/>
      <c r="V7" s="291"/>
      <c r="W7" s="291"/>
      <c r="X7" s="292"/>
      <c r="Y7" s="160"/>
      <c r="Z7" s="291"/>
      <c r="AA7" s="291"/>
      <c r="AB7" s="291"/>
      <c r="AC7" s="291"/>
      <c r="AD7" s="291"/>
      <c r="AE7" s="291"/>
      <c r="AF7" s="291"/>
      <c r="AG7" s="291"/>
      <c r="AH7" s="291"/>
      <c r="AI7" s="291"/>
      <c r="AJ7" s="291"/>
      <c r="AK7" s="291"/>
      <c r="AL7" s="291"/>
      <c r="AM7" s="291"/>
      <c r="AN7" s="291"/>
      <c r="AO7" s="291"/>
      <c r="AP7" s="291"/>
      <c r="AQ7" s="291"/>
      <c r="AR7" s="291"/>
      <c r="AS7" s="291"/>
      <c r="AT7" s="291"/>
      <c r="AU7" s="291"/>
      <c r="AV7" s="292"/>
    </row>
    <row r="8" spans="1:48" ht="15" customHeight="1">
      <c r="A8" s="160"/>
      <c r="C8" s="291" t="s">
        <v>1105</v>
      </c>
      <c r="E8" s="291"/>
      <c r="F8" s="291"/>
      <c r="G8" s="291"/>
      <c r="H8" s="291"/>
      <c r="I8" s="291"/>
      <c r="J8" s="291"/>
      <c r="K8" s="291" t="s">
        <v>1106</v>
      </c>
      <c r="L8" s="291"/>
      <c r="M8" s="291"/>
      <c r="N8" s="291"/>
      <c r="O8" s="291"/>
      <c r="P8" s="291"/>
      <c r="Q8" s="291" t="s">
        <v>1107</v>
      </c>
      <c r="R8" s="291"/>
      <c r="S8" s="291"/>
      <c r="T8" s="291"/>
      <c r="U8" s="291"/>
      <c r="V8" s="291"/>
      <c r="W8" s="291"/>
      <c r="X8" s="292"/>
      <c r="Y8" s="160"/>
      <c r="Z8" s="291"/>
      <c r="AA8" s="291"/>
      <c r="AB8" s="291"/>
      <c r="AC8" s="291"/>
      <c r="AD8" s="291"/>
      <c r="AE8" s="291"/>
      <c r="AF8" s="291"/>
      <c r="AG8" s="291"/>
      <c r="AH8" s="291"/>
      <c r="AI8" s="291"/>
      <c r="AJ8" s="291"/>
      <c r="AK8" s="291"/>
      <c r="AL8" s="291"/>
      <c r="AM8" s="291"/>
      <c r="AN8" s="291"/>
      <c r="AO8" s="291"/>
      <c r="AP8" s="291"/>
      <c r="AQ8" s="291"/>
      <c r="AR8" s="291"/>
      <c r="AS8" s="291"/>
      <c r="AT8" s="97"/>
      <c r="AU8" s="291"/>
      <c r="AV8" s="292"/>
    </row>
    <row r="9" spans="1:48" ht="15" customHeight="1">
      <c r="A9" s="160"/>
      <c r="B9" s="291"/>
      <c r="C9" s="291"/>
      <c r="D9" s="291" t="s">
        <v>1109</v>
      </c>
      <c r="F9" s="291"/>
      <c r="G9" s="291"/>
      <c r="H9" s="291"/>
      <c r="I9" s="291"/>
      <c r="J9" s="291"/>
      <c r="K9" s="291"/>
      <c r="L9" s="291" t="s">
        <v>1108</v>
      </c>
      <c r="M9" s="291"/>
      <c r="N9" s="291"/>
      <c r="O9" s="291"/>
      <c r="P9" s="291"/>
      <c r="Q9" s="291"/>
      <c r="R9" s="291"/>
      <c r="S9" s="291"/>
      <c r="T9" s="291"/>
      <c r="U9" s="291"/>
      <c r="V9" s="291"/>
      <c r="W9" s="291"/>
      <c r="X9" s="292"/>
      <c r="Y9" s="160"/>
      <c r="Z9" s="291"/>
      <c r="AA9" s="291"/>
      <c r="AB9" s="291"/>
      <c r="AC9" s="291"/>
      <c r="AD9" s="291"/>
      <c r="AE9" s="291"/>
      <c r="AF9" s="291"/>
      <c r="AG9" s="291"/>
      <c r="AH9" s="291"/>
      <c r="AI9" s="291"/>
      <c r="AJ9" s="291"/>
      <c r="AK9" s="291"/>
      <c r="AL9" s="291"/>
      <c r="AM9" s="291"/>
      <c r="AN9" s="291"/>
      <c r="AO9" s="291"/>
      <c r="AP9" s="291"/>
      <c r="AQ9" s="291"/>
      <c r="AR9" s="291"/>
      <c r="AS9" s="291"/>
      <c r="AT9" s="291"/>
      <c r="AU9" s="291"/>
      <c r="AV9" s="292"/>
    </row>
    <row r="10" spans="1:48" ht="15" customHeight="1">
      <c r="A10" s="160"/>
      <c r="B10" s="291"/>
      <c r="C10" s="291"/>
      <c r="D10" s="291"/>
      <c r="E10" s="291" t="s">
        <v>1095</v>
      </c>
      <c r="F10" s="291"/>
      <c r="G10" s="291"/>
      <c r="H10" s="291"/>
      <c r="I10" s="291"/>
      <c r="J10" s="291"/>
      <c r="K10" s="291"/>
      <c r="L10" s="291"/>
      <c r="M10" s="291"/>
      <c r="N10" s="291"/>
      <c r="O10" s="291"/>
      <c r="P10" s="291"/>
      <c r="Q10" s="291"/>
      <c r="R10" s="291"/>
      <c r="S10" s="291"/>
      <c r="T10" s="291"/>
      <c r="U10" s="291"/>
      <c r="V10" s="291"/>
      <c r="W10" s="291"/>
      <c r="X10" s="292"/>
      <c r="Y10" s="160"/>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2"/>
    </row>
    <row r="11" spans="1:48" ht="15" customHeight="1">
      <c r="A11" s="160"/>
      <c r="B11" s="291"/>
      <c r="C11" s="291"/>
      <c r="D11" s="291" t="s">
        <v>1110</v>
      </c>
      <c r="E11" s="291"/>
      <c r="F11" s="291"/>
      <c r="G11" s="291"/>
      <c r="H11" s="291"/>
      <c r="I11" s="291"/>
      <c r="J11" s="291"/>
      <c r="L11" s="291" t="s">
        <v>451</v>
      </c>
      <c r="M11" s="291"/>
      <c r="N11" s="291"/>
      <c r="O11" s="291"/>
      <c r="P11" s="291"/>
      <c r="Q11" s="291"/>
      <c r="R11" s="291"/>
      <c r="S11" s="291"/>
      <c r="T11" s="291"/>
      <c r="U11" s="291"/>
      <c r="V11" s="291"/>
      <c r="W11" s="291"/>
      <c r="X11" s="292"/>
      <c r="Y11" s="160"/>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2"/>
    </row>
    <row r="12" spans="1:48" ht="15" customHeight="1">
      <c r="A12" s="160"/>
      <c r="B12" s="291"/>
      <c r="C12" s="291"/>
      <c r="E12" s="291" t="s">
        <v>1097</v>
      </c>
      <c r="F12" s="291"/>
      <c r="G12" s="291"/>
      <c r="H12" s="291"/>
      <c r="I12" s="291"/>
      <c r="J12" s="291"/>
      <c r="R12" s="291"/>
      <c r="S12" s="291"/>
      <c r="T12" s="291"/>
      <c r="U12" s="291"/>
      <c r="V12" s="291"/>
      <c r="W12" s="291"/>
      <c r="X12" s="292"/>
      <c r="Y12" s="160"/>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2"/>
    </row>
    <row r="13" spans="1:48" ht="15" customHeight="1">
      <c r="A13" s="160"/>
      <c r="B13" s="291"/>
      <c r="C13" s="291"/>
      <c r="D13" s="291" t="s">
        <v>1111</v>
      </c>
      <c r="E13" s="291"/>
      <c r="F13" s="291"/>
      <c r="G13" s="291"/>
      <c r="H13" s="291"/>
      <c r="I13" s="291"/>
      <c r="J13" s="291"/>
      <c r="K13" s="291"/>
      <c r="L13" s="291" t="s">
        <v>451</v>
      </c>
      <c r="M13" s="291"/>
      <c r="N13" s="291"/>
      <c r="O13" s="291"/>
      <c r="P13" s="291"/>
      <c r="Q13" s="291"/>
      <c r="R13" s="291"/>
      <c r="S13" s="291"/>
      <c r="T13" s="291"/>
      <c r="U13" s="291"/>
      <c r="V13" s="291"/>
      <c r="W13" s="291"/>
      <c r="X13" s="292"/>
      <c r="Y13" s="160"/>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2"/>
    </row>
    <row r="14" spans="1:48" ht="15" customHeight="1">
      <c r="A14" s="160"/>
      <c r="B14" s="291"/>
      <c r="C14" s="291"/>
      <c r="D14" s="291"/>
      <c r="E14" s="291" t="s">
        <v>1112</v>
      </c>
      <c r="F14" s="291"/>
      <c r="G14" s="291"/>
      <c r="H14" s="291"/>
      <c r="I14" s="291"/>
      <c r="J14" s="291"/>
      <c r="K14" s="291"/>
      <c r="L14" s="291"/>
      <c r="M14" s="291"/>
      <c r="N14" s="291"/>
      <c r="O14" s="291"/>
      <c r="P14" s="291"/>
      <c r="Q14" s="291"/>
      <c r="R14" s="291"/>
      <c r="S14" s="291"/>
      <c r="T14" s="291"/>
      <c r="U14" s="291"/>
      <c r="V14" s="291"/>
      <c r="W14" s="291"/>
      <c r="X14" s="292"/>
      <c r="Y14" s="160"/>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2"/>
    </row>
    <row r="15" spans="1:48" ht="15" customHeight="1">
      <c r="A15" s="160"/>
      <c r="B15" s="291"/>
      <c r="C15" s="291"/>
      <c r="D15" s="291" t="s">
        <v>1124</v>
      </c>
      <c r="E15" s="291"/>
      <c r="F15" s="291"/>
      <c r="G15" s="291"/>
      <c r="H15" s="291"/>
      <c r="I15" s="291"/>
      <c r="J15" s="291"/>
      <c r="K15" s="291"/>
      <c r="L15" s="291" t="s">
        <v>451</v>
      </c>
      <c r="M15" s="291"/>
      <c r="N15" s="291"/>
      <c r="O15" s="291"/>
      <c r="P15" s="291"/>
      <c r="Q15" s="291"/>
      <c r="R15" s="291"/>
      <c r="S15" s="291"/>
      <c r="T15" s="291"/>
      <c r="U15" s="291"/>
      <c r="V15" s="291"/>
      <c r="W15" s="291"/>
      <c r="X15" s="292"/>
      <c r="Y15" s="160"/>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2"/>
    </row>
    <row r="16" spans="1:48" ht="15" customHeight="1">
      <c r="A16" s="160"/>
      <c r="B16" s="291"/>
      <c r="C16" s="291"/>
      <c r="D16" s="291"/>
      <c r="E16" s="291"/>
      <c r="F16" s="291"/>
      <c r="G16" s="291"/>
      <c r="H16" s="291"/>
      <c r="I16" s="291"/>
      <c r="J16" s="291"/>
      <c r="K16" s="291"/>
      <c r="L16" s="291"/>
      <c r="M16" s="291"/>
      <c r="N16" s="291"/>
      <c r="O16" s="291"/>
      <c r="P16" s="291"/>
      <c r="Q16" s="291"/>
      <c r="R16" s="291"/>
      <c r="S16" s="291"/>
      <c r="T16" s="291"/>
      <c r="U16" s="291"/>
      <c r="V16" s="291"/>
      <c r="W16" s="291"/>
      <c r="X16" s="292"/>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2"/>
    </row>
    <row r="17" spans="1:48" ht="15" customHeight="1">
      <c r="A17" s="160"/>
      <c r="B17" s="291"/>
      <c r="C17" s="291"/>
      <c r="D17" s="291"/>
      <c r="E17" s="291"/>
      <c r="F17" s="291"/>
      <c r="G17" s="291"/>
      <c r="H17" s="291"/>
      <c r="I17" s="291"/>
      <c r="J17" s="291"/>
      <c r="K17" s="291"/>
      <c r="L17" s="291"/>
      <c r="M17" s="291"/>
      <c r="N17" s="291"/>
      <c r="O17" s="291"/>
      <c r="P17" s="291"/>
      <c r="Q17" s="291"/>
      <c r="R17" s="291"/>
      <c r="S17" s="291"/>
      <c r="T17" s="291"/>
      <c r="U17" s="291"/>
      <c r="V17" s="291"/>
      <c r="W17" s="291"/>
      <c r="X17" s="292"/>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2"/>
    </row>
    <row r="18" spans="1:48" ht="15" customHeight="1">
      <c r="A18" s="160"/>
      <c r="X18" s="292"/>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2"/>
    </row>
    <row r="19" spans="1:48" ht="15" customHeight="1">
      <c r="A19" s="160"/>
      <c r="B19" s="291" t="s">
        <v>448</v>
      </c>
      <c r="C19" s="291"/>
      <c r="D19" s="291"/>
      <c r="E19" s="291"/>
      <c r="F19" s="291"/>
      <c r="G19" s="291"/>
      <c r="H19" s="291"/>
      <c r="I19" s="291"/>
      <c r="J19" s="291"/>
      <c r="K19" s="291"/>
      <c r="L19" s="291"/>
      <c r="M19" s="291"/>
      <c r="N19" s="291"/>
      <c r="O19" s="291"/>
      <c r="P19" s="291"/>
      <c r="Q19" s="291"/>
      <c r="R19" s="291"/>
      <c r="S19" s="291"/>
      <c r="T19" s="291"/>
      <c r="U19" s="291"/>
      <c r="V19" s="291"/>
      <c r="X19" s="292"/>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2"/>
    </row>
    <row r="20" spans="1:48" ht="15" customHeight="1">
      <c r="A20" s="160"/>
      <c r="B20" s="291"/>
      <c r="C20" s="291" t="s">
        <v>1113</v>
      </c>
      <c r="D20" s="291"/>
      <c r="E20" s="291"/>
      <c r="F20" s="291"/>
      <c r="G20" s="291"/>
      <c r="H20" s="291"/>
      <c r="I20" s="291"/>
      <c r="J20" s="291"/>
      <c r="K20" s="291" t="s">
        <v>1152</v>
      </c>
      <c r="L20" s="291"/>
      <c r="M20" s="291"/>
      <c r="N20" s="291"/>
      <c r="O20" s="291"/>
      <c r="P20" s="291"/>
      <c r="Q20" s="291" t="s">
        <v>1098</v>
      </c>
      <c r="R20" s="291"/>
      <c r="S20" s="291"/>
      <c r="T20" s="291"/>
      <c r="U20" s="291"/>
      <c r="V20" s="291"/>
      <c r="X20" s="292"/>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2"/>
    </row>
    <row r="21" spans="1:48" ht="15" customHeight="1">
      <c r="A21" s="160"/>
      <c r="B21" s="291"/>
      <c r="C21" s="291"/>
      <c r="D21" s="291" t="s">
        <v>1101</v>
      </c>
      <c r="E21" s="291"/>
      <c r="F21" s="291"/>
      <c r="G21" s="291"/>
      <c r="H21" s="291"/>
      <c r="I21" s="291"/>
      <c r="J21" s="291"/>
      <c r="K21" s="291"/>
      <c r="L21" s="291"/>
      <c r="M21" s="291"/>
      <c r="N21" s="291"/>
      <c r="O21" s="291"/>
      <c r="P21" s="291"/>
      <c r="Q21" s="291"/>
      <c r="R21" s="291"/>
      <c r="S21" s="291"/>
      <c r="T21" s="291"/>
      <c r="X21" s="292"/>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2"/>
    </row>
    <row r="22" spans="1:48" ht="15" customHeight="1">
      <c r="A22" s="160"/>
      <c r="X22" s="292"/>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2"/>
    </row>
    <row r="23" spans="1:48" ht="15" customHeight="1">
      <c r="A23" s="160"/>
      <c r="C23" s="291" t="s">
        <v>1114</v>
      </c>
      <c r="D23" s="291"/>
      <c r="E23" s="291"/>
      <c r="F23" s="291"/>
      <c r="G23" s="291"/>
      <c r="H23" s="291"/>
      <c r="I23" s="291"/>
      <c r="J23" s="291"/>
      <c r="K23" s="291" t="s">
        <v>1099</v>
      </c>
      <c r="L23" s="291"/>
      <c r="M23" s="291"/>
      <c r="N23" s="291"/>
      <c r="O23" s="291"/>
      <c r="P23" s="291"/>
      <c r="Q23" s="291" t="s">
        <v>1100</v>
      </c>
      <c r="R23" s="291"/>
      <c r="S23" s="291"/>
      <c r="X23" s="292"/>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2"/>
    </row>
    <row r="24" spans="1:48" ht="15" customHeight="1">
      <c r="A24" s="160"/>
      <c r="C24" s="291"/>
      <c r="D24" s="291" t="s">
        <v>1101</v>
      </c>
      <c r="E24" s="291"/>
      <c r="F24" s="291"/>
      <c r="G24" s="291"/>
      <c r="H24" s="291"/>
      <c r="I24" s="291"/>
      <c r="J24" s="291"/>
      <c r="K24" s="291"/>
      <c r="L24" s="291"/>
      <c r="M24" s="291"/>
      <c r="N24" s="291"/>
      <c r="O24" s="291"/>
      <c r="P24" s="291"/>
      <c r="Q24" s="291"/>
      <c r="R24" s="291"/>
      <c r="S24" s="291"/>
      <c r="X24" s="292"/>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2"/>
    </row>
    <row r="25" spans="1:48" ht="15" customHeight="1">
      <c r="A25" s="160"/>
      <c r="X25" s="292"/>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2"/>
    </row>
    <row r="26" spans="1:48" ht="15" customHeight="1">
      <c r="A26" s="160"/>
      <c r="X26" s="292"/>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2"/>
    </row>
    <row r="27" spans="1:48" ht="15" customHeight="1">
      <c r="A27" s="160"/>
      <c r="X27" s="292"/>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2"/>
    </row>
    <row r="28" spans="1:48" ht="15" customHeight="1">
      <c r="A28" s="160"/>
      <c r="B28" s="291"/>
      <c r="U28" s="291"/>
      <c r="V28" s="291"/>
      <c r="W28" s="291"/>
      <c r="X28" s="292"/>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2"/>
    </row>
    <row r="29" spans="1:48" ht="15" customHeight="1">
      <c r="A29" s="160"/>
      <c r="B29" s="291"/>
      <c r="U29" s="291"/>
      <c r="V29" s="291"/>
      <c r="W29" s="291"/>
      <c r="X29" s="292"/>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2"/>
    </row>
    <row r="30" spans="1:48" ht="15" customHeight="1">
      <c r="A30" s="160"/>
      <c r="U30" s="291"/>
      <c r="V30" s="291"/>
      <c r="W30" s="291"/>
      <c r="X30" s="292"/>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2"/>
    </row>
    <row r="31" spans="1:48" ht="15" customHeight="1">
      <c r="A31" s="160"/>
      <c r="B31" s="291"/>
      <c r="U31" s="291"/>
      <c r="V31" s="291"/>
      <c r="W31" s="291"/>
      <c r="X31" s="292"/>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2"/>
    </row>
    <row r="32" spans="1:48" ht="15" customHeight="1">
      <c r="A32" s="160"/>
      <c r="B32" s="291"/>
      <c r="U32" s="291"/>
      <c r="V32" s="291"/>
      <c r="W32" s="291"/>
      <c r="X32" s="292"/>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2"/>
    </row>
    <row r="33" spans="1:48" ht="15" customHeight="1">
      <c r="A33" s="160"/>
      <c r="B33" s="291"/>
      <c r="U33" s="291"/>
      <c r="V33" s="291"/>
      <c r="W33" s="291"/>
      <c r="X33" s="292"/>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2"/>
    </row>
    <row r="34" spans="1:48" ht="15" customHeight="1">
      <c r="A34" s="160"/>
      <c r="B34" s="291"/>
      <c r="U34" s="291"/>
      <c r="V34" s="291"/>
      <c r="W34" s="291"/>
      <c r="X34" s="292"/>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2"/>
    </row>
    <row r="35" spans="1:48" ht="15" customHeight="1">
      <c r="A35" s="160"/>
      <c r="B35" s="291"/>
      <c r="U35" s="291"/>
      <c r="V35" s="291"/>
      <c r="W35" s="291"/>
      <c r="X35" s="292"/>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2"/>
    </row>
    <row r="36" spans="1:48" ht="15" customHeight="1">
      <c r="A36" s="160"/>
      <c r="B36" s="291"/>
      <c r="U36" s="291"/>
      <c r="V36" s="291"/>
      <c r="W36" s="291"/>
      <c r="X36" s="292"/>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2"/>
    </row>
    <row r="37" spans="1:48" ht="15" customHeight="1">
      <c r="A37" s="160"/>
      <c r="B37" s="291"/>
      <c r="U37" s="291"/>
      <c r="V37" s="291"/>
      <c r="W37" s="291"/>
      <c r="X37" s="292"/>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2"/>
    </row>
    <row r="38" spans="1:48" ht="15" customHeight="1">
      <c r="A38" s="160"/>
      <c r="X38" s="292"/>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2"/>
    </row>
    <row r="39" spans="1:48" ht="15" customHeight="1">
      <c r="A39" s="160"/>
      <c r="X39" s="292"/>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2"/>
    </row>
    <row r="40" spans="1:48" ht="15" customHeight="1">
      <c r="A40" s="160"/>
      <c r="X40" s="292"/>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2"/>
    </row>
    <row r="41" spans="1:48" ht="15" customHeight="1">
      <c r="A41" s="160"/>
      <c r="V41" s="291"/>
      <c r="W41" s="291"/>
      <c r="X41" s="292"/>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2"/>
    </row>
    <row r="42" spans="1:48" ht="15" customHeight="1">
      <c r="A42" s="160"/>
      <c r="V42" s="291"/>
      <c r="W42" s="291"/>
      <c r="X42" s="292"/>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2"/>
    </row>
    <row r="43" spans="1:48" ht="15" customHeight="1">
      <c r="A43" s="160"/>
      <c r="V43" s="291"/>
      <c r="W43" s="291"/>
      <c r="X43" s="292"/>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2"/>
    </row>
    <row r="44" spans="1:48" ht="15" customHeight="1">
      <c r="A44" s="160"/>
      <c r="L44" s="489"/>
      <c r="V44" s="291"/>
      <c r="W44" s="291"/>
      <c r="X44" s="292"/>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2"/>
    </row>
    <row r="45" spans="1:48" ht="15" customHeight="1">
      <c r="A45" s="160"/>
      <c r="V45" s="291"/>
      <c r="W45" s="291"/>
      <c r="X45" s="292"/>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2"/>
    </row>
    <row r="46" spans="1:48" ht="15" customHeight="1">
      <c r="A46" s="160"/>
      <c r="V46" s="291"/>
      <c r="W46" s="291"/>
      <c r="X46" s="292"/>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2"/>
    </row>
    <row r="47" spans="1:48" ht="15" customHeight="1">
      <c r="A47" s="160"/>
      <c r="V47" s="291"/>
      <c r="W47" s="291"/>
      <c r="X47" s="292"/>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2"/>
    </row>
    <row r="48" spans="1:48" ht="15" customHeight="1">
      <c r="A48" s="160"/>
      <c r="V48" s="291"/>
      <c r="W48" s="291"/>
      <c r="X48" s="292"/>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2"/>
    </row>
    <row r="49" spans="1:48" ht="15" customHeight="1">
      <c r="A49" s="160"/>
      <c r="V49" s="291"/>
      <c r="W49" s="291"/>
      <c r="X49" s="292"/>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2"/>
    </row>
    <row r="50" spans="1:48" ht="15" customHeight="1">
      <c r="A50" s="160"/>
      <c r="V50" s="291"/>
      <c r="W50" s="291"/>
      <c r="X50" s="292"/>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2"/>
    </row>
    <row r="51" spans="1:48" ht="15" customHeight="1">
      <c r="A51" s="160"/>
      <c r="V51" s="291"/>
      <c r="W51" s="291"/>
      <c r="X51" s="292"/>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2"/>
    </row>
    <row r="52" spans="1:48" ht="15" customHeight="1">
      <c r="A52" s="160"/>
      <c r="V52" s="291"/>
      <c r="W52" s="291"/>
      <c r="X52" s="292"/>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2"/>
    </row>
    <row r="53" spans="1:48" ht="15" customHeight="1">
      <c r="A53" s="160"/>
      <c r="V53" s="291"/>
      <c r="W53" s="291"/>
      <c r="X53" s="292"/>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2"/>
    </row>
    <row r="54" spans="1:48" ht="15" customHeight="1">
      <c r="A54" s="119"/>
      <c r="V54" s="291"/>
      <c r="W54" s="291"/>
      <c r="X54" s="292"/>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2"/>
    </row>
    <row r="55" spans="1:48" ht="15" customHeight="1">
      <c r="A55" s="119"/>
      <c r="W55" s="291"/>
      <c r="X55" s="292"/>
      <c r="Y55" s="291"/>
      <c r="Z55" s="291"/>
      <c r="AA55" s="291"/>
      <c r="AB55" s="291"/>
      <c r="AC55" s="291"/>
      <c r="AD55" s="291"/>
      <c r="AE55" s="291"/>
      <c r="AF55" s="291"/>
      <c r="AG55" s="291"/>
      <c r="AH55" s="291"/>
      <c r="AI55" s="291"/>
      <c r="AJ55" s="291"/>
      <c r="AK55" s="291"/>
      <c r="AL55" s="291"/>
      <c r="AM55" s="291"/>
      <c r="AN55" s="291"/>
      <c r="AO55" s="291"/>
      <c r="AP55" s="291"/>
      <c r="AQ55" s="291"/>
      <c r="AR55" s="291"/>
      <c r="AS55" s="291"/>
      <c r="AT55" s="291"/>
      <c r="AU55" s="291"/>
      <c r="AV55" s="292"/>
    </row>
    <row r="56" spans="1:48" ht="15" customHeight="1">
      <c r="A56" s="160"/>
      <c r="W56" s="291"/>
      <c r="X56" s="292"/>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2"/>
    </row>
    <row r="57" spans="1:48" ht="15" customHeight="1">
      <c r="A57" s="160"/>
      <c r="W57" s="291"/>
      <c r="X57" s="292"/>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2"/>
    </row>
    <row r="58" spans="1:48" ht="15" customHeight="1">
      <c r="A58" s="160"/>
      <c r="W58" s="291"/>
      <c r="X58" s="292"/>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2"/>
    </row>
    <row r="59" spans="1:48" ht="15" customHeight="1">
      <c r="A59" s="160"/>
      <c r="W59" s="291"/>
      <c r="X59" s="292"/>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2"/>
    </row>
    <row r="60" spans="1:48" ht="15" customHeight="1">
      <c r="A60" s="160"/>
      <c r="W60" s="293"/>
      <c r="X60" s="292"/>
      <c r="Y60" s="291"/>
      <c r="Z60" s="291"/>
      <c r="AA60" s="291"/>
      <c r="AB60" s="291"/>
      <c r="AC60" s="291"/>
      <c r="AD60" s="291"/>
      <c r="AE60" s="291"/>
      <c r="AF60" s="291"/>
      <c r="AG60" s="291"/>
      <c r="AH60" s="291"/>
      <c r="AI60" s="291"/>
      <c r="AJ60" s="291"/>
      <c r="AK60" s="291"/>
      <c r="AL60" s="291"/>
      <c r="AM60" s="291"/>
      <c r="AN60" s="291"/>
      <c r="AO60" s="291"/>
      <c r="AP60" s="291"/>
      <c r="AQ60" s="291"/>
      <c r="AR60" s="291"/>
      <c r="AS60" s="291"/>
      <c r="AT60" s="291"/>
      <c r="AU60" s="291"/>
      <c r="AV60" s="292"/>
    </row>
    <row r="61" spans="1:48" ht="15" customHeight="1">
      <c r="A61" s="160"/>
      <c r="U61" s="291"/>
      <c r="W61" s="291"/>
      <c r="X61" s="292"/>
      <c r="Y61" s="291"/>
      <c r="Z61" s="291"/>
      <c r="AA61" s="291"/>
      <c r="AB61" s="291"/>
      <c r="AC61" s="291"/>
      <c r="AD61" s="291"/>
      <c r="AE61" s="291"/>
      <c r="AF61" s="291"/>
      <c r="AG61" s="291"/>
      <c r="AH61" s="291"/>
      <c r="AI61" s="291"/>
      <c r="AJ61" s="291"/>
      <c r="AK61" s="291"/>
      <c r="AL61" s="291"/>
      <c r="AM61" s="291"/>
      <c r="AN61" s="291"/>
      <c r="AO61" s="291"/>
      <c r="AP61" s="291"/>
      <c r="AQ61" s="291"/>
      <c r="AR61" s="291"/>
      <c r="AS61" s="291"/>
      <c r="AT61" s="291"/>
      <c r="AU61" s="291"/>
      <c r="AV61" s="292"/>
    </row>
    <row r="62" spans="1:48" ht="15" customHeight="1">
      <c r="A62" s="457"/>
      <c r="U62" s="291"/>
      <c r="V62" s="291"/>
      <c r="W62" s="291"/>
      <c r="X62" s="292"/>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2"/>
    </row>
    <row r="63" spans="1:48" ht="15" customHeight="1">
      <c r="A63" s="160"/>
      <c r="U63" s="291"/>
      <c r="V63" s="291"/>
      <c r="W63" s="291"/>
      <c r="X63" s="292"/>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2"/>
    </row>
    <row r="64" spans="1:48" ht="15" customHeight="1">
      <c r="A64" s="160"/>
      <c r="U64" s="291"/>
      <c r="V64" s="291"/>
      <c r="W64" s="291"/>
      <c r="X64" s="292"/>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2"/>
    </row>
    <row r="65" spans="1:49" ht="15" customHeight="1">
      <c r="A65" s="160"/>
      <c r="U65" s="291"/>
      <c r="V65" s="291"/>
      <c r="W65" s="291"/>
      <c r="X65" s="292"/>
      <c r="Y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2"/>
    </row>
    <row r="66" spans="1:49" ht="15" customHeight="1">
      <c r="A66" s="160"/>
      <c r="U66" s="291"/>
      <c r="V66" s="291"/>
      <c r="W66" s="291"/>
      <c r="X66" s="292"/>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2"/>
    </row>
    <row r="67" spans="1:49" ht="15" customHeight="1">
      <c r="A67" s="160"/>
      <c r="U67" s="291"/>
      <c r="V67" s="291"/>
      <c r="W67" s="291"/>
      <c r="X67" s="292"/>
      <c r="Y67" s="291"/>
      <c r="Z67" s="291"/>
      <c r="AA67" s="291"/>
      <c r="AB67" s="291"/>
      <c r="AC67" s="291"/>
      <c r="AD67" s="291"/>
      <c r="AE67" s="291"/>
      <c r="AF67" s="291"/>
      <c r="AG67" s="291"/>
      <c r="AH67" s="291"/>
      <c r="AI67" s="291"/>
      <c r="AJ67" s="291"/>
      <c r="AK67" s="291"/>
      <c r="AL67" s="291"/>
      <c r="AM67" s="291"/>
      <c r="AN67" s="291"/>
      <c r="AO67" s="291"/>
      <c r="AP67" s="291"/>
      <c r="AQ67" s="291"/>
      <c r="AR67" s="291"/>
      <c r="AS67" s="291"/>
      <c r="AT67" s="291"/>
      <c r="AU67" s="291"/>
      <c r="AV67" s="292"/>
    </row>
    <row r="68" spans="1:49" ht="15" customHeight="1">
      <c r="A68" s="160"/>
      <c r="U68" s="291"/>
      <c r="V68" s="291"/>
      <c r="W68" s="291"/>
      <c r="X68" s="292"/>
      <c r="Y68" s="291"/>
      <c r="Z68" s="291"/>
      <c r="AA68" s="291"/>
      <c r="AB68" s="291"/>
      <c r="AC68" s="291"/>
      <c r="AD68" s="291"/>
      <c r="AE68" s="291"/>
      <c r="AF68" s="291"/>
      <c r="AG68" s="291"/>
      <c r="AH68" s="291"/>
      <c r="AI68" s="291"/>
      <c r="AJ68" s="291"/>
      <c r="AK68" s="291"/>
      <c r="AL68" s="291"/>
      <c r="AM68" s="291"/>
      <c r="AN68" s="291"/>
      <c r="AO68" s="291"/>
      <c r="AP68" s="291"/>
      <c r="AQ68" s="291"/>
      <c r="AR68" s="291"/>
      <c r="AS68" s="291"/>
      <c r="AT68" s="291"/>
      <c r="AU68" s="291"/>
      <c r="AV68" s="292"/>
    </row>
    <row r="69" spans="1:49" ht="15" customHeight="1">
      <c r="A69" s="160"/>
      <c r="U69" s="291"/>
      <c r="V69" s="291"/>
      <c r="W69" s="291"/>
      <c r="X69" s="292"/>
      <c r="Y69" s="291"/>
      <c r="Z69" s="291"/>
      <c r="AA69" s="291"/>
      <c r="AB69" s="291"/>
      <c r="AC69" s="291"/>
      <c r="AD69" s="291"/>
      <c r="AE69" s="291"/>
      <c r="AF69" s="291"/>
      <c r="AG69" s="291"/>
      <c r="AH69" s="291"/>
      <c r="AI69" s="291"/>
      <c r="AJ69" s="291"/>
      <c r="AK69" s="291"/>
      <c r="AL69" s="291"/>
      <c r="AM69" s="291"/>
      <c r="AN69" s="291"/>
      <c r="AO69" s="291"/>
      <c r="AP69" s="291"/>
      <c r="AQ69" s="291"/>
      <c r="AR69" s="291"/>
      <c r="AS69" s="291"/>
      <c r="AT69" s="291"/>
      <c r="AU69" s="291"/>
      <c r="AV69" s="292"/>
    </row>
    <row r="70" spans="1:49" ht="15" customHeight="1">
      <c r="A70" s="160"/>
      <c r="U70" s="291"/>
      <c r="V70" s="291"/>
      <c r="W70" s="291"/>
      <c r="X70" s="292"/>
      <c r="Y70" s="291"/>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291"/>
      <c r="AV70" s="292"/>
    </row>
    <row r="71" spans="1:49" ht="15" customHeight="1">
      <c r="A71" s="160"/>
      <c r="U71" s="291"/>
      <c r="V71" s="291"/>
      <c r="W71" s="291"/>
      <c r="X71" s="292"/>
      <c r="Y71" s="291"/>
      <c r="Z71" s="291"/>
      <c r="AA71" s="291"/>
      <c r="AB71" s="291"/>
      <c r="AC71" s="291"/>
      <c r="AD71" s="291"/>
      <c r="AE71" s="291"/>
      <c r="AF71" s="291"/>
      <c r="AG71" s="291"/>
      <c r="AH71" s="291"/>
      <c r="AI71" s="291"/>
      <c r="AJ71" s="291"/>
      <c r="AK71" s="291"/>
      <c r="AL71" s="291"/>
      <c r="AM71" s="291"/>
      <c r="AN71" s="291"/>
      <c r="AO71" s="291"/>
      <c r="AP71" s="291"/>
      <c r="AQ71" s="291"/>
      <c r="AR71" s="291"/>
      <c r="AS71" s="291"/>
      <c r="AT71" s="291"/>
      <c r="AU71" s="291"/>
      <c r="AV71" s="292"/>
    </row>
    <row r="72" spans="1:49" ht="15" customHeight="1">
      <c r="A72" s="160"/>
      <c r="U72" s="291"/>
      <c r="V72" s="291"/>
      <c r="W72" s="291"/>
      <c r="X72" s="292"/>
      <c r="Y72" s="291"/>
      <c r="Z72" s="291"/>
      <c r="AA72" s="291"/>
      <c r="AB72" s="291"/>
      <c r="AC72" s="291"/>
      <c r="AD72" s="291"/>
      <c r="AE72" s="291"/>
      <c r="AF72" s="291"/>
      <c r="AG72" s="291"/>
      <c r="AH72" s="291"/>
      <c r="AI72" s="291"/>
      <c r="AJ72" s="291"/>
      <c r="AK72" s="291"/>
      <c r="AL72" s="291"/>
      <c r="AM72" s="291"/>
      <c r="AN72" s="291"/>
      <c r="AO72" s="291"/>
      <c r="AP72" s="291"/>
      <c r="AQ72" s="291"/>
      <c r="AR72" s="291"/>
      <c r="AS72" s="291"/>
      <c r="AT72" s="291"/>
      <c r="AU72" s="291"/>
      <c r="AV72" s="292"/>
    </row>
    <row r="73" spans="1:49" ht="15" customHeight="1">
      <c r="A73" s="160"/>
      <c r="U73" s="291"/>
      <c r="V73" s="291"/>
      <c r="W73" s="291"/>
      <c r="X73" s="292"/>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2"/>
    </row>
    <row r="74" spans="1:49" ht="15" customHeight="1">
      <c r="A74" s="160"/>
      <c r="W74" s="291"/>
      <c r="X74" s="292"/>
      <c r="Y74" s="291"/>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2"/>
    </row>
    <row r="75" spans="1:49" ht="15" customHeight="1">
      <c r="A75" s="160"/>
      <c r="W75" s="291"/>
      <c r="X75" s="292"/>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2"/>
    </row>
    <row r="76" spans="1:49" ht="15" customHeight="1">
      <c r="A76" s="160"/>
      <c r="W76" s="291"/>
      <c r="X76" s="292"/>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2"/>
    </row>
    <row r="77" spans="1:49" ht="15" customHeight="1">
      <c r="A77" s="160"/>
      <c r="B77" s="291"/>
      <c r="U77" s="291"/>
      <c r="V77" s="291"/>
      <c r="W77" s="291"/>
      <c r="X77" s="292"/>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2"/>
    </row>
    <row r="78" spans="1:49" ht="15" customHeight="1">
      <c r="A78" s="161"/>
      <c r="B78" s="294"/>
      <c r="C78" s="20"/>
      <c r="D78" s="20"/>
      <c r="E78" s="20"/>
      <c r="F78" s="20"/>
      <c r="G78" s="20"/>
      <c r="H78" s="20"/>
      <c r="I78" s="20"/>
      <c r="J78" s="20"/>
      <c r="K78" s="20"/>
      <c r="L78" s="20"/>
      <c r="M78" s="20"/>
      <c r="N78" s="20"/>
      <c r="O78" s="20"/>
      <c r="P78" s="20"/>
      <c r="Q78" s="20"/>
      <c r="R78" s="20"/>
      <c r="S78" s="20"/>
      <c r="T78" s="20"/>
      <c r="U78" s="294"/>
      <c r="V78" s="294"/>
      <c r="W78" s="294"/>
      <c r="X78" s="295"/>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5"/>
      <c r="AW78" s="19"/>
    </row>
  </sheetData>
  <mergeCells count="2">
    <mergeCell ref="A2:X3"/>
    <mergeCell ref="Y2:AV3"/>
  </mergeCells>
  <phoneticPr fontId="3"/>
  <printOptions horizontalCentered="1"/>
  <pageMargins left="0.78740157480314965" right="0.39370078740157483" top="0.59055118110236227" bottom="0.59055118110236227" header="0.31496062992125984" footer="0.11811023622047245"/>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2:CD44"/>
  <sheetViews>
    <sheetView showGridLines="0" showZeros="0" view="pageBreakPreview" zoomScale="85" zoomScaleNormal="100" zoomScaleSheetLayoutView="85" workbookViewId="0">
      <selection activeCell="I33" sqref="I33"/>
    </sheetView>
  </sheetViews>
  <sheetFormatPr defaultRowHeight="18.75"/>
  <cols>
    <col min="1" max="4" width="13.625" customWidth="1"/>
    <col min="5" max="6" width="5.625" customWidth="1"/>
    <col min="7" max="8" width="12.625" customWidth="1"/>
    <col min="9" max="9" width="13.625" customWidth="1"/>
  </cols>
  <sheetData>
    <row r="2" spans="1:82">
      <c r="A2" s="16"/>
      <c r="B2" s="536" t="s">
        <v>802</v>
      </c>
      <c r="C2" s="536"/>
      <c r="D2" s="536"/>
      <c r="E2" s="536"/>
      <c r="F2" s="536"/>
      <c r="G2" s="536"/>
      <c r="H2" s="536"/>
      <c r="I2" s="328"/>
    </row>
    <row r="3" spans="1:82">
      <c r="A3" s="19"/>
      <c r="B3" s="537"/>
      <c r="C3" s="537"/>
      <c r="D3" s="537"/>
      <c r="E3" s="537"/>
      <c r="F3" s="537"/>
      <c r="G3" s="537"/>
      <c r="H3" s="537"/>
      <c r="I3" s="329" t="s">
        <v>112</v>
      </c>
    </row>
    <row r="4" spans="1:82">
      <c r="A4" s="538" t="s">
        <v>803</v>
      </c>
      <c r="B4" s="538" t="s">
        <v>85</v>
      </c>
      <c r="C4" s="538" t="s">
        <v>804</v>
      </c>
      <c r="D4" s="538" t="s">
        <v>805</v>
      </c>
      <c r="E4" s="538" t="s">
        <v>2</v>
      </c>
      <c r="F4" s="538" t="s">
        <v>3</v>
      </c>
      <c r="G4" s="538" t="s">
        <v>806</v>
      </c>
      <c r="H4" s="538" t="s">
        <v>807</v>
      </c>
      <c r="I4" s="538" t="s">
        <v>8</v>
      </c>
    </row>
    <row r="5" spans="1:82">
      <c r="A5" s="538"/>
      <c r="B5" s="538"/>
      <c r="C5" s="538"/>
      <c r="D5" s="538"/>
      <c r="E5" s="538"/>
      <c r="F5" s="538"/>
      <c r="G5" s="538"/>
      <c r="H5" s="538"/>
      <c r="I5" s="538"/>
    </row>
    <row r="6" spans="1:82">
      <c r="A6" s="330" t="s">
        <v>811</v>
      </c>
      <c r="B6" s="330"/>
      <c r="C6" s="330"/>
      <c r="D6" s="330"/>
      <c r="E6" s="331"/>
      <c r="F6" s="331"/>
      <c r="G6" s="331"/>
      <c r="H6" s="331"/>
      <c r="I6" s="332"/>
      <c r="CD6" t="s">
        <v>1147</v>
      </c>
    </row>
    <row r="7" spans="1:82">
      <c r="A7" s="334"/>
      <c r="B7" s="334"/>
      <c r="C7" s="334"/>
      <c r="D7" s="334"/>
      <c r="E7" s="334"/>
      <c r="F7" s="334"/>
      <c r="G7" s="334"/>
      <c r="H7" s="334"/>
      <c r="I7" s="6"/>
    </row>
    <row r="8" spans="1:82">
      <c r="A8" s="330"/>
      <c r="B8" s="330" t="s">
        <v>212</v>
      </c>
      <c r="C8" s="330" t="s">
        <v>145</v>
      </c>
      <c r="D8" s="330"/>
      <c r="E8" s="335">
        <v>1</v>
      </c>
      <c r="F8" s="336" t="s">
        <v>117</v>
      </c>
      <c r="G8" s="331"/>
      <c r="H8" s="337"/>
      <c r="I8" s="332" t="s">
        <v>812</v>
      </c>
      <c r="AT8" s="97"/>
      <c r="CD8" t="s">
        <v>1147</v>
      </c>
    </row>
    <row r="9" spans="1:82">
      <c r="A9" s="334"/>
      <c r="B9" s="334"/>
      <c r="C9" s="334"/>
      <c r="D9" s="334"/>
      <c r="E9" s="427"/>
      <c r="F9" s="334"/>
      <c r="G9" s="334"/>
      <c r="H9" s="339"/>
      <c r="I9" s="6"/>
    </row>
    <row r="10" spans="1:82">
      <c r="A10" s="330"/>
      <c r="B10" s="330"/>
      <c r="C10" s="330"/>
      <c r="D10" s="330"/>
      <c r="E10" s="335"/>
      <c r="F10" s="336"/>
      <c r="G10" s="331"/>
      <c r="H10" s="337"/>
      <c r="I10" s="332"/>
      <c r="CD10" t="s">
        <v>1148</v>
      </c>
    </row>
    <row r="11" spans="1:82">
      <c r="A11" s="334"/>
      <c r="B11" s="334"/>
      <c r="C11" s="334"/>
      <c r="D11" s="334"/>
      <c r="E11" s="338"/>
      <c r="F11" s="334"/>
      <c r="G11" s="334"/>
      <c r="H11" s="339"/>
      <c r="I11" s="6"/>
    </row>
    <row r="12" spans="1:82">
      <c r="A12" s="330"/>
      <c r="B12" s="330" t="s">
        <v>214</v>
      </c>
      <c r="C12" s="330" t="s">
        <v>145</v>
      </c>
      <c r="D12" s="330"/>
      <c r="E12" s="335">
        <v>1</v>
      </c>
      <c r="F12" s="336" t="s">
        <v>117</v>
      </c>
      <c r="G12" s="331"/>
      <c r="H12" s="337"/>
      <c r="I12" s="332" t="s">
        <v>812</v>
      </c>
    </row>
    <row r="13" spans="1:82">
      <c r="A13" s="334"/>
      <c r="B13" s="334"/>
      <c r="C13" s="334"/>
      <c r="D13" s="334"/>
      <c r="E13" s="427"/>
      <c r="F13" s="334"/>
      <c r="G13" s="334"/>
      <c r="H13" s="339"/>
      <c r="I13" s="6"/>
    </row>
    <row r="14" spans="1:82">
      <c r="A14" s="330"/>
      <c r="B14" s="330"/>
      <c r="C14" s="330"/>
      <c r="D14" s="330"/>
      <c r="E14" s="335"/>
      <c r="F14" s="336"/>
      <c r="G14" s="331"/>
      <c r="H14" s="337"/>
      <c r="I14" s="332"/>
    </row>
    <row r="15" spans="1:82">
      <c r="A15" s="334"/>
      <c r="B15" s="334"/>
      <c r="C15" s="334"/>
      <c r="D15" s="334"/>
      <c r="E15" s="338"/>
      <c r="F15" s="334"/>
      <c r="G15" s="334"/>
      <c r="H15" s="339"/>
      <c r="I15" s="6"/>
    </row>
    <row r="16" spans="1:82">
      <c r="A16" s="330"/>
      <c r="B16" s="330"/>
      <c r="C16" s="330" t="s">
        <v>813</v>
      </c>
      <c r="D16" s="330"/>
      <c r="E16" s="335">
        <v>1</v>
      </c>
      <c r="F16" s="336" t="s">
        <v>117</v>
      </c>
      <c r="G16" s="331"/>
      <c r="H16" s="337"/>
      <c r="I16" s="332"/>
    </row>
    <row r="17" spans="1:9">
      <c r="A17" s="334"/>
      <c r="B17" s="334"/>
      <c r="C17" s="334"/>
      <c r="D17" s="334"/>
      <c r="E17" s="427"/>
      <c r="F17" s="334"/>
      <c r="G17" s="334"/>
      <c r="H17" s="344"/>
      <c r="I17" s="6"/>
    </row>
    <row r="18" spans="1:9">
      <c r="A18" s="330"/>
      <c r="B18" s="330"/>
      <c r="C18" s="330" t="s">
        <v>439</v>
      </c>
      <c r="D18" s="330"/>
      <c r="E18" s="335">
        <v>10</v>
      </c>
      <c r="F18" s="336" t="s">
        <v>814</v>
      </c>
      <c r="G18" s="337"/>
      <c r="H18" s="345"/>
      <c r="I18" s="332"/>
    </row>
    <row r="19" spans="1:9">
      <c r="A19" s="334"/>
      <c r="B19" s="334"/>
      <c r="C19" s="334"/>
      <c r="D19" s="334"/>
      <c r="E19" s="427"/>
      <c r="F19" s="334"/>
      <c r="G19" s="346"/>
      <c r="H19" s="347"/>
      <c r="I19" s="6"/>
    </row>
    <row r="20" spans="1:9">
      <c r="A20" s="330"/>
      <c r="B20" s="330"/>
      <c r="C20" s="330" t="s">
        <v>440</v>
      </c>
      <c r="D20" s="330"/>
      <c r="E20" s="335">
        <v>1</v>
      </c>
      <c r="F20" s="336" t="s">
        <v>117</v>
      </c>
      <c r="G20" s="331"/>
      <c r="H20" s="348"/>
      <c r="I20" s="332"/>
    </row>
    <row r="21" spans="1:9">
      <c r="A21" s="334"/>
      <c r="B21" s="334"/>
      <c r="C21" s="334"/>
      <c r="D21" s="334"/>
      <c r="E21" s="427"/>
      <c r="F21" s="334"/>
      <c r="G21" s="334"/>
      <c r="H21" s="339"/>
      <c r="I21" s="6"/>
    </row>
    <row r="22" spans="1:9">
      <c r="A22" s="330"/>
      <c r="B22" s="330" t="s">
        <v>118</v>
      </c>
      <c r="C22" s="330"/>
      <c r="D22" s="330"/>
      <c r="E22" s="331"/>
      <c r="F22" s="331"/>
      <c r="G22" s="331"/>
      <c r="H22" s="337"/>
      <c r="I22" s="332"/>
    </row>
    <row r="23" spans="1:9">
      <c r="A23" s="334"/>
      <c r="B23" s="334"/>
      <c r="C23" s="334"/>
      <c r="D23" s="334"/>
      <c r="E23" s="334"/>
      <c r="F23" s="334"/>
      <c r="G23" s="334"/>
      <c r="H23" s="339"/>
      <c r="I23" s="6"/>
    </row>
    <row r="24" spans="1:9">
      <c r="A24" s="350"/>
      <c r="B24" s="350"/>
      <c r="C24" s="350"/>
      <c r="D24" s="350"/>
      <c r="E24" s="350"/>
      <c r="F24" s="350"/>
      <c r="G24" s="350"/>
      <c r="H24" s="350"/>
      <c r="I24" s="350"/>
    </row>
    <row r="25" spans="1:9">
      <c r="A25" s="350"/>
      <c r="B25" s="350"/>
      <c r="C25" s="350"/>
      <c r="D25" s="350"/>
      <c r="E25" s="350"/>
      <c r="F25" s="350"/>
      <c r="G25" s="350"/>
      <c r="H25" s="350"/>
      <c r="I25" s="350"/>
    </row>
    <row r="44" spans="12:12">
      <c r="L44" s="489"/>
    </row>
  </sheetData>
  <mergeCells count="10">
    <mergeCell ref="A4:A5"/>
    <mergeCell ref="B4:B5"/>
    <mergeCell ref="C4:C5"/>
    <mergeCell ref="D4:D5"/>
    <mergeCell ref="E4:E5"/>
    <mergeCell ref="I4:I5"/>
    <mergeCell ref="B2:H3"/>
    <mergeCell ref="F4:F5"/>
    <mergeCell ref="G4:G5"/>
    <mergeCell ref="H4:H5"/>
  </mergeCells>
  <phoneticPr fontId="3"/>
  <pageMargins left="0.78740157480314965" right="0.39370078740157483" top="0.74803149606299213" bottom="0.74803149606299213" header="0.31496062992125984" footer="0.31496062992125984"/>
  <pageSetup paperSize="9" scale="79" fitToHeight="0"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B1:AH93"/>
  <sheetViews>
    <sheetView showGridLines="0" showZeros="0" view="pageBreakPreview" zoomScaleNormal="70" zoomScaleSheetLayoutView="100" workbookViewId="0">
      <selection activeCell="E41" sqref="E41"/>
    </sheetView>
  </sheetViews>
  <sheetFormatPr defaultRowHeight="18.75"/>
  <cols>
    <col min="3" max="4" width="12.625" customWidth="1"/>
    <col min="5" max="5" width="7.625" customWidth="1"/>
    <col min="6" max="6" width="13.625" customWidth="1"/>
    <col min="7" max="7" width="7.625" hidden="1" customWidth="1"/>
    <col min="8" max="8" width="13.625" hidden="1" customWidth="1"/>
    <col min="9" max="9" width="7.625" hidden="1" customWidth="1"/>
    <col min="10" max="10" width="13.625" hidden="1" customWidth="1"/>
    <col min="11" max="11" width="7.625" hidden="1" customWidth="1"/>
    <col min="12" max="12" width="13.625" hidden="1" customWidth="1"/>
    <col min="13" max="13" width="7.625" hidden="1" customWidth="1"/>
    <col min="14" max="14" width="13.625" hidden="1" customWidth="1"/>
    <col min="15" max="15" width="7.625" hidden="1" customWidth="1"/>
    <col min="16" max="16" width="13.625" hidden="1" customWidth="1"/>
    <col min="17" max="17" width="7.625" hidden="1" customWidth="1"/>
    <col min="18" max="18" width="13.625" hidden="1" customWidth="1"/>
    <col min="19" max="19" width="7.625" hidden="1" customWidth="1"/>
    <col min="20" max="20" width="13.625" hidden="1" customWidth="1"/>
    <col min="21" max="21" width="7.625" hidden="1" customWidth="1"/>
    <col min="22" max="22" width="13.625" hidden="1" customWidth="1"/>
    <col min="23" max="23" width="7.625" customWidth="1"/>
    <col min="24" max="24" width="13.625" customWidth="1"/>
    <col min="25" max="25" width="7.625" customWidth="1"/>
    <col min="26" max="26" width="13.625" customWidth="1"/>
    <col min="27" max="27" width="7.625" customWidth="1"/>
    <col min="28" max="28" width="13.625" customWidth="1"/>
    <col min="29" max="29" width="15.625" customWidth="1"/>
    <col min="30" max="30" width="11.375" bestFit="1" customWidth="1"/>
    <col min="32" max="32" width="11.25" bestFit="1" customWidth="1"/>
  </cols>
  <sheetData>
    <row r="1" spans="2:31">
      <c r="F1">
        <v>1</v>
      </c>
      <c r="H1">
        <v>1</v>
      </c>
      <c r="J1">
        <v>1</v>
      </c>
      <c r="L1">
        <v>1</v>
      </c>
      <c r="N1">
        <v>2</v>
      </c>
      <c r="X1">
        <v>1</v>
      </c>
    </row>
    <row r="2" spans="2:31" ht="50.1" customHeight="1">
      <c r="D2" s="639" t="s">
        <v>792</v>
      </c>
      <c r="E2" s="639"/>
      <c r="F2" s="639"/>
      <c r="G2" s="639"/>
      <c r="H2" s="639"/>
      <c r="I2" s="639"/>
      <c r="J2" s="639"/>
      <c r="K2" s="639"/>
      <c r="L2" s="639"/>
      <c r="M2" s="639"/>
      <c r="N2" s="639"/>
      <c r="O2" s="639"/>
      <c r="P2" s="639"/>
      <c r="Q2" s="639"/>
      <c r="R2" s="639"/>
      <c r="S2" s="639"/>
      <c r="T2" s="639"/>
      <c r="U2" s="639"/>
      <c r="V2" s="639"/>
      <c r="W2" s="639"/>
      <c r="X2" s="639"/>
      <c r="Y2" s="639"/>
      <c r="Z2" s="639"/>
      <c r="AA2" s="639"/>
      <c r="AC2" s="351" t="s">
        <v>112</v>
      </c>
    </row>
    <row r="3" spans="2:31" ht="18.75" customHeight="1">
      <c r="B3" s="640"/>
      <c r="C3" s="641"/>
      <c r="D3" s="642"/>
      <c r="E3" s="626" t="s">
        <v>906</v>
      </c>
      <c r="F3" s="627"/>
      <c r="G3" s="626"/>
      <c r="H3" s="627"/>
      <c r="I3" s="626"/>
      <c r="J3" s="627"/>
      <c r="K3" s="626"/>
      <c r="L3" s="627"/>
      <c r="M3" s="626"/>
      <c r="N3" s="627"/>
      <c r="O3" s="626"/>
      <c r="P3" s="627"/>
      <c r="Q3" s="626"/>
      <c r="R3" s="627"/>
      <c r="S3" s="626"/>
      <c r="T3" s="627"/>
      <c r="U3" s="626"/>
      <c r="V3" s="627"/>
      <c r="W3" s="626" t="s">
        <v>906</v>
      </c>
      <c r="X3" s="627"/>
      <c r="Y3" s="626"/>
      <c r="Z3" s="627"/>
      <c r="AA3" s="630" t="s">
        <v>11</v>
      </c>
      <c r="AB3" s="631"/>
      <c r="AC3" s="636" t="s">
        <v>437</v>
      </c>
    </row>
    <row r="4" spans="2:31">
      <c r="B4" s="643"/>
      <c r="C4" s="644"/>
      <c r="D4" s="645"/>
      <c r="E4" s="628"/>
      <c r="F4" s="629"/>
      <c r="G4" s="628"/>
      <c r="H4" s="629"/>
      <c r="I4" s="628"/>
      <c r="J4" s="629"/>
      <c r="K4" s="628"/>
      <c r="L4" s="629"/>
      <c r="M4" s="628"/>
      <c r="N4" s="629"/>
      <c r="O4" s="628"/>
      <c r="P4" s="629"/>
      <c r="Q4" s="628"/>
      <c r="R4" s="629"/>
      <c r="S4" s="628"/>
      <c r="T4" s="629"/>
      <c r="U4" s="628"/>
      <c r="V4" s="629"/>
      <c r="W4" s="628"/>
      <c r="X4" s="629"/>
      <c r="Y4" s="628"/>
      <c r="Z4" s="629"/>
      <c r="AA4" s="632"/>
      <c r="AB4" s="633"/>
      <c r="AC4" s="637"/>
    </row>
    <row r="5" spans="2:31" ht="24.95" customHeight="1">
      <c r="B5" s="643"/>
      <c r="C5" s="644"/>
      <c r="D5" s="645"/>
      <c r="E5" s="352" t="s">
        <v>793</v>
      </c>
      <c r="F5" s="353" t="s">
        <v>794</v>
      </c>
      <c r="G5" s="354"/>
      <c r="H5" s="353"/>
      <c r="I5" s="354"/>
      <c r="J5" s="353"/>
      <c r="K5" s="354"/>
      <c r="L5" s="353"/>
      <c r="M5" s="354"/>
      <c r="N5" s="353"/>
      <c r="O5" s="354" t="s">
        <v>793</v>
      </c>
      <c r="P5" s="353" t="s">
        <v>794</v>
      </c>
      <c r="Q5" s="354" t="s">
        <v>793</v>
      </c>
      <c r="R5" s="353" t="s">
        <v>794</v>
      </c>
      <c r="S5" s="354" t="s">
        <v>793</v>
      </c>
      <c r="T5" s="353" t="s">
        <v>794</v>
      </c>
      <c r="U5" s="354" t="s">
        <v>793</v>
      </c>
      <c r="V5" s="353" t="s">
        <v>794</v>
      </c>
      <c r="W5" s="354" t="s">
        <v>793</v>
      </c>
      <c r="X5" s="353" t="s">
        <v>794</v>
      </c>
      <c r="Y5" s="354"/>
      <c r="Z5" s="353"/>
      <c r="AA5" s="632"/>
      <c r="AB5" s="633"/>
      <c r="AC5" s="637"/>
    </row>
    <row r="6" spans="2:31" ht="24.95" customHeight="1">
      <c r="B6" s="646"/>
      <c r="C6" s="647"/>
      <c r="D6" s="648"/>
      <c r="E6" s="538" t="s">
        <v>1031</v>
      </c>
      <c r="F6" s="538"/>
      <c r="G6" s="538"/>
      <c r="H6" s="538"/>
      <c r="I6" s="538"/>
      <c r="J6" s="538"/>
      <c r="K6" s="538"/>
      <c r="L6" s="538"/>
      <c r="M6" s="538"/>
      <c r="N6" s="538"/>
      <c r="O6" s="538" t="str">
        <f>+IF(P1=1,"補助対象",IF(P1=2,"単独対象",""))</f>
        <v/>
      </c>
      <c r="P6" s="538"/>
      <c r="Q6" s="538" t="str">
        <f>+IF(R1=1,"補助対象",IF(R1=2,"単独対象",""))</f>
        <v/>
      </c>
      <c r="R6" s="538"/>
      <c r="S6" s="538" t="str">
        <f>+IF(T1=1,"補助対象",IF(T1=2,"単独対象",""))</f>
        <v/>
      </c>
      <c r="T6" s="538"/>
      <c r="U6" s="538" t="str">
        <f>+IF(V1=1,"補助対象",IF(V1=2,"単独対象",""))</f>
        <v/>
      </c>
      <c r="V6" s="538"/>
      <c r="W6" s="538" t="s">
        <v>1032</v>
      </c>
      <c r="X6" s="538"/>
      <c r="Y6" s="538"/>
      <c r="Z6" s="538"/>
      <c r="AA6" s="634"/>
      <c r="AB6" s="635"/>
      <c r="AC6" s="638"/>
    </row>
    <row r="7" spans="2:31" ht="24.95" customHeight="1">
      <c r="B7" s="355"/>
      <c r="C7" s="355"/>
      <c r="D7" s="355"/>
      <c r="E7" s="356"/>
      <c r="F7" s="357"/>
      <c r="G7" s="356"/>
      <c r="H7" s="357"/>
      <c r="I7" s="356"/>
      <c r="J7" s="357"/>
      <c r="K7" s="356"/>
      <c r="L7" s="357"/>
      <c r="M7" s="356"/>
      <c r="N7" s="357"/>
      <c r="O7" s="356"/>
      <c r="P7" s="357"/>
      <c r="Q7" s="356"/>
      <c r="R7" s="357"/>
      <c r="S7" s="356"/>
      <c r="T7" s="357"/>
      <c r="U7" s="356"/>
      <c r="V7" s="357"/>
      <c r="W7" s="356"/>
      <c r="X7" s="357"/>
      <c r="Y7" s="356"/>
      <c r="Z7" s="357"/>
      <c r="AA7" s="358"/>
      <c r="AB7" s="358"/>
      <c r="AC7" s="359"/>
    </row>
    <row r="8" spans="2:31" ht="24.95" customHeight="1">
      <c r="B8" s="360" t="s">
        <v>145</v>
      </c>
      <c r="C8" s="649" t="s">
        <v>212</v>
      </c>
      <c r="D8" s="652" t="s">
        <v>10</v>
      </c>
      <c r="E8" s="366"/>
      <c r="F8" s="337" t="e">
        <f>#REF!</f>
        <v>#REF!</v>
      </c>
      <c r="G8" s="361"/>
      <c r="H8" s="361"/>
      <c r="I8" s="361"/>
      <c r="J8" s="361"/>
      <c r="K8" s="361"/>
      <c r="L8" s="361"/>
      <c r="M8" s="361"/>
      <c r="N8" s="361"/>
      <c r="O8" s="361"/>
      <c r="P8" s="361"/>
      <c r="Q8" s="361"/>
      <c r="R8" s="361"/>
      <c r="S8" s="361"/>
      <c r="T8" s="361"/>
      <c r="U8" s="361"/>
      <c r="V8" s="361"/>
      <c r="W8" s="361"/>
      <c r="X8" s="361"/>
      <c r="Y8" s="361"/>
      <c r="Z8" s="361"/>
      <c r="AA8" s="361"/>
      <c r="AB8" s="337" t="e">
        <f>+SUM(F8:Z8)</f>
        <v>#REF!</v>
      </c>
      <c r="AC8" s="2"/>
    </row>
    <row r="9" spans="2:31" ht="24.95" customHeight="1">
      <c r="B9" s="362"/>
      <c r="C9" s="650"/>
      <c r="D9" s="653"/>
      <c r="E9" s="380" t="e">
        <f>+IF(F9&gt;0,F9/$AB9,0)</f>
        <v>#REF!</v>
      </c>
      <c r="F9" s="339">
        <v>3128600</v>
      </c>
      <c r="G9" s="363"/>
      <c r="H9" s="339"/>
      <c r="I9" s="363"/>
      <c r="J9" s="339"/>
      <c r="K9" s="363"/>
      <c r="L9" s="339"/>
      <c r="M9" s="363"/>
      <c r="N9" s="363"/>
      <c r="O9" s="363">
        <f>+IF(P9&gt;0,P9/$AB9,0)</f>
        <v>0</v>
      </c>
      <c r="P9" s="363"/>
      <c r="Q9" s="363">
        <f>+IF(R9&gt;0,R9/$AB9,0)</f>
        <v>0</v>
      </c>
      <c r="R9" s="363"/>
      <c r="S9" s="363">
        <f>+IF(T9&gt;0,T9/$AB9,0)</f>
        <v>0</v>
      </c>
      <c r="T9" s="363"/>
      <c r="U9" s="363">
        <f>+IF(V9&gt;0,V9/$AB9,0)</f>
        <v>0</v>
      </c>
      <c r="V9" s="363"/>
      <c r="W9" s="380" t="e">
        <f>+IF(X9&gt;0,X9/$AB9,0)</f>
        <v>#REF!</v>
      </c>
      <c r="X9" s="339" t="e">
        <f>#REF!-F8</f>
        <v>#REF!</v>
      </c>
      <c r="Y9" s="363">
        <f>+IF(Z9&gt;0,Z9/$AB9,0)</f>
        <v>0</v>
      </c>
      <c r="Z9" s="363"/>
      <c r="AA9" s="423" t="e">
        <f t="shared" ref="AA9:AB11" si="0">+SUM(E9,G9,I9,K9,M9,O9,Q9,S9,U9,W9,Y9)</f>
        <v>#REF!</v>
      </c>
      <c r="AB9" s="347" t="e">
        <f t="shared" si="0"/>
        <v>#REF!</v>
      </c>
      <c r="AC9" s="365"/>
    </row>
    <row r="10" spans="2:31" ht="24.95" customHeight="1">
      <c r="B10" s="362"/>
      <c r="C10" s="650"/>
      <c r="D10" s="652" t="s">
        <v>120</v>
      </c>
      <c r="E10" s="366"/>
      <c r="F10" s="337">
        <f>'内訳(機械)補助'!H28</f>
        <v>0</v>
      </c>
      <c r="G10" s="366"/>
      <c r="H10" s="361"/>
      <c r="I10" s="366"/>
      <c r="J10" s="361"/>
      <c r="K10" s="366"/>
      <c r="L10" s="361"/>
      <c r="M10" s="366"/>
      <c r="N10" s="361"/>
      <c r="O10" s="366">
        <f>+IF(P10&gt;0,P10/$AB10,0)</f>
        <v>0</v>
      </c>
      <c r="P10" s="361"/>
      <c r="Q10" s="366">
        <f>+IF(R10&gt;0,R10/$AB10,0)</f>
        <v>0</v>
      </c>
      <c r="R10" s="361"/>
      <c r="S10" s="366">
        <f>+IF(T10&gt;0,T10/$AB10,0)</f>
        <v>0</v>
      </c>
      <c r="T10" s="361"/>
      <c r="U10" s="366">
        <f>+IF(V10&gt;0,V10/$AB10,0)</f>
        <v>0</v>
      </c>
      <c r="V10" s="361"/>
      <c r="W10" s="366"/>
      <c r="X10" s="361">
        <f>'施行経費内訳 (単独)'!E8</f>
        <v>0</v>
      </c>
      <c r="Y10" s="366">
        <f>+IF(Z10&gt;0,Z10/$AB10,0)</f>
        <v>0</v>
      </c>
      <c r="Z10" s="361"/>
      <c r="AA10" s="366">
        <f t="shared" si="0"/>
        <v>0</v>
      </c>
      <c r="AB10" s="337">
        <f t="shared" si="0"/>
        <v>0</v>
      </c>
      <c r="AC10" s="2"/>
    </row>
    <row r="11" spans="2:31" ht="24.95" customHeight="1">
      <c r="B11" s="362"/>
      <c r="C11" s="650"/>
      <c r="D11" s="653"/>
      <c r="E11" s="380" t="e">
        <f>+IF(F11&gt;0,F11/$F10,0)</f>
        <v>#DIV/0!</v>
      </c>
      <c r="F11" s="339">
        <v>1224050</v>
      </c>
      <c r="G11" s="367"/>
      <c r="H11" s="339"/>
      <c r="I11" s="367"/>
      <c r="J11" s="339"/>
      <c r="K11" s="367"/>
      <c r="L11" s="339"/>
      <c r="M11" s="367"/>
      <c r="N11" s="339"/>
      <c r="O11" s="367">
        <f>+IF(P11&gt;0,P11/$AB11,0)</f>
        <v>0</v>
      </c>
      <c r="P11" s="363"/>
      <c r="Q11" s="367">
        <f>+IF(R11&gt;0,R11/$AB11,0)</f>
        <v>0</v>
      </c>
      <c r="R11" s="363"/>
      <c r="S11" s="367">
        <f>+IF(T11&gt;0,T11/$AB11,0)</f>
        <v>0</v>
      </c>
      <c r="T11" s="363"/>
      <c r="U11" s="367">
        <f>+IF(V11&gt;0,V11/$AB11,0)</f>
        <v>0</v>
      </c>
      <c r="V11" s="363"/>
      <c r="W11" s="367">
        <f>+IF(X11&gt;0,X11/$AB11,0)</f>
        <v>0</v>
      </c>
      <c r="X11" s="339">
        <f>'内訳(機械)補助'!H29-F11</f>
        <v>-1224050</v>
      </c>
      <c r="Y11" s="367">
        <f>+IF(Z11&gt;0,Z11/$AB11,0)</f>
        <v>0</v>
      </c>
      <c r="Z11" s="363"/>
      <c r="AA11" s="380" t="e">
        <f>+SUM(E11,G11,I11,K11,M11,O11,Q11,S11,U11,W11,Y11)</f>
        <v>#DIV/0!</v>
      </c>
      <c r="AB11" s="347">
        <f t="shared" si="0"/>
        <v>0</v>
      </c>
      <c r="AC11" s="365"/>
    </row>
    <row r="12" spans="2:31" ht="24.95" customHeight="1">
      <c r="B12" s="119"/>
      <c r="C12" s="650"/>
      <c r="D12" s="654" t="s">
        <v>795</v>
      </c>
      <c r="E12" s="368"/>
      <c r="F12" s="369" t="e">
        <f>#REF!</f>
        <v>#REF!</v>
      </c>
      <c r="G12" s="369"/>
      <c r="H12" s="369"/>
      <c r="I12" s="369"/>
      <c r="J12" s="369"/>
      <c r="K12" s="369"/>
      <c r="L12" s="369"/>
      <c r="M12" s="369"/>
      <c r="N12" s="369"/>
      <c r="O12" s="369"/>
      <c r="P12" s="369">
        <f>+IF(P10&gt;0,ROUND($AB12*O10,-3),0)</f>
        <v>0</v>
      </c>
      <c r="Q12" s="369"/>
      <c r="R12" s="369">
        <f>+IF(R10&gt;0,ROUND($AB12*Q10,-3),0)</f>
        <v>0</v>
      </c>
      <c r="S12" s="369"/>
      <c r="T12" s="369">
        <f>+IF(T10&gt;0,ROUND($AB12*S10,-3),0)</f>
        <v>0</v>
      </c>
      <c r="U12" s="369"/>
      <c r="V12" s="369">
        <f>+IF(V10&gt;0,ROUND($AB12*U10,-3),0)</f>
        <v>0</v>
      </c>
      <c r="W12" s="369"/>
      <c r="X12" s="369"/>
      <c r="Y12" s="369"/>
      <c r="Z12" s="341"/>
      <c r="AA12" s="369"/>
      <c r="AB12" s="369" t="e">
        <f>#REF!</f>
        <v>#REF!</v>
      </c>
      <c r="AC12" s="317"/>
      <c r="AD12" s="370" t="e">
        <f>+SUM(F12,H12,J12,L12,N12,P12,R12,T12,V12,X12,Z12)</f>
        <v>#REF!</v>
      </c>
      <c r="AE12" t="e">
        <f>+IF(AB12&gt;0,IF(AB12=AD12,"〇","×"),"")</f>
        <v>#REF!</v>
      </c>
    </row>
    <row r="13" spans="2:31" ht="24.95" customHeight="1">
      <c r="B13" s="119"/>
      <c r="C13" s="651"/>
      <c r="D13" s="655"/>
      <c r="E13" s="371"/>
      <c r="F13" s="372">
        <v>7750000</v>
      </c>
      <c r="G13" s="372"/>
      <c r="H13" s="372"/>
      <c r="I13" s="372"/>
      <c r="J13" s="372"/>
      <c r="K13" s="372"/>
      <c r="L13" s="372"/>
      <c r="M13" s="373"/>
      <c r="N13" s="372"/>
      <c r="O13" s="373"/>
      <c r="P13" s="373">
        <f>+IF(P11&gt;0,ROUND($AB13*O11,-3),0)</f>
        <v>0</v>
      </c>
      <c r="Q13" s="373"/>
      <c r="R13" s="373">
        <f>+IF(R11&gt;0,ROUND($AB13*Q11,-3),0)</f>
        <v>0</v>
      </c>
      <c r="S13" s="373"/>
      <c r="T13" s="373">
        <f>+IF(T11&gt;0,ROUND($AB13*S11,-3),0)</f>
        <v>0</v>
      </c>
      <c r="U13" s="373"/>
      <c r="V13" s="373">
        <f>+IF(V11&gt;0,ROUND($AB13*U11,-3),0)</f>
        <v>0</v>
      </c>
      <c r="W13" s="373"/>
      <c r="X13" s="372" t="e">
        <f>#REF!-F12</f>
        <v>#REF!</v>
      </c>
      <c r="Y13" s="373"/>
      <c r="Z13" s="373"/>
      <c r="AA13" s="373"/>
      <c r="AB13" s="372" t="e">
        <f>#REF!</f>
        <v>#REF!</v>
      </c>
      <c r="AC13" s="374"/>
      <c r="AD13" s="370" t="e">
        <f>+SUM(F13,H13,J13,L13,N13,P13,R13,T13,V13,X13,Z13)</f>
        <v>#REF!</v>
      </c>
      <c r="AE13" t="e">
        <f>+IF(AB13&gt;0,IF(AB13=AD13,"〇","×"),"")</f>
        <v>#REF!</v>
      </c>
    </row>
    <row r="14" spans="2:31" ht="24.95" customHeight="1">
      <c r="B14" s="362"/>
      <c r="C14" s="649" t="s">
        <v>214</v>
      </c>
      <c r="D14" s="652" t="s">
        <v>10</v>
      </c>
      <c r="E14" s="375"/>
      <c r="F14" s="337" t="e">
        <f>#REF!</f>
        <v>#REF!</v>
      </c>
      <c r="G14" s="361"/>
      <c r="H14" s="361"/>
      <c r="I14" s="361"/>
      <c r="J14" s="361"/>
      <c r="K14" s="361"/>
      <c r="L14" s="361"/>
      <c r="M14" s="361"/>
      <c r="N14" s="361"/>
      <c r="O14" s="361"/>
      <c r="P14" s="361"/>
      <c r="Q14" s="361"/>
      <c r="R14" s="361"/>
      <c r="S14" s="361"/>
      <c r="T14" s="361"/>
      <c r="U14" s="361"/>
      <c r="V14" s="361"/>
      <c r="W14" s="361"/>
      <c r="X14" s="361"/>
      <c r="Y14" s="361"/>
      <c r="Z14" s="361"/>
      <c r="AA14" s="366">
        <f>+SUM(E14,G14,I14,K14,M14,O14,Q14,S14,U14,W14,Y14)</f>
        <v>0</v>
      </c>
      <c r="AB14" s="337" t="e">
        <f>+SUM(F14:Z14)</f>
        <v>#REF!</v>
      </c>
      <c r="AC14" s="3"/>
    </row>
    <row r="15" spans="2:31" ht="24.95" customHeight="1">
      <c r="B15" s="362"/>
      <c r="C15" s="650"/>
      <c r="D15" s="653"/>
      <c r="E15" s="334"/>
      <c r="F15" s="339">
        <v>4082400</v>
      </c>
      <c r="G15" s="363"/>
      <c r="H15" s="339"/>
      <c r="I15" s="363"/>
      <c r="J15" s="339"/>
      <c r="K15" s="363"/>
      <c r="L15" s="339"/>
      <c r="M15" s="363"/>
      <c r="N15" s="363"/>
      <c r="O15" s="363"/>
      <c r="P15" s="363"/>
      <c r="Q15" s="363"/>
      <c r="R15" s="363"/>
      <c r="S15" s="363"/>
      <c r="T15" s="363"/>
      <c r="U15" s="363"/>
      <c r="V15" s="363"/>
      <c r="W15" s="363"/>
      <c r="X15" s="339" t="e">
        <f>#REF!-F14</f>
        <v>#REF!</v>
      </c>
      <c r="Y15" s="363"/>
      <c r="Z15" s="363"/>
      <c r="AA15" s="454"/>
      <c r="AB15" s="339" t="e">
        <f>+SUM(F15:Z15)</f>
        <v>#REF!</v>
      </c>
      <c r="AC15" s="1"/>
    </row>
    <row r="16" spans="2:31" ht="24.95" customHeight="1">
      <c r="B16" s="362"/>
      <c r="C16" s="650"/>
      <c r="D16" s="652" t="s">
        <v>120</v>
      </c>
      <c r="E16" s="375"/>
      <c r="F16" s="337" t="e">
        <f>#REF!</f>
        <v>#REF!</v>
      </c>
      <c r="G16" s="375"/>
      <c r="H16" s="361"/>
      <c r="I16" s="375"/>
      <c r="J16" s="361"/>
      <c r="K16" s="375"/>
      <c r="L16" s="361"/>
      <c r="M16" s="375"/>
      <c r="N16" s="361"/>
      <c r="O16" s="375">
        <f>+IF(P16&gt;0,P16/$AB16,0)</f>
        <v>0</v>
      </c>
      <c r="P16" s="361"/>
      <c r="Q16" s="375">
        <f>+IF(R16&gt;0,R16/$AB16,0)</f>
        <v>0</v>
      </c>
      <c r="R16" s="361"/>
      <c r="S16" s="375">
        <f>+IF(T16&gt;0,T16/$AB16,0)</f>
        <v>0</v>
      </c>
      <c r="T16" s="361"/>
      <c r="U16" s="375">
        <f>+IF(V16&gt;0,V16/$AB16,0)</f>
        <v>0</v>
      </c>
      <c r="V16" s="361"/>
      <c r="W16" s="375"/>
      <c r="X16" s="361">
        <f>'施行経費内訳 (単独)'!F8</f>
        <v>0</v>
      </c>
      <c r="Y16" s="375">
        <f>+IF(Z16&gt;0,Z16/$AB16,0)</f>
        <v>0</v>
      </c>
      <c r="Z16" s="361"/>
      <c r="AA16" s="366">
        <f>+SUM(E16,G16,I16,K16,M16,O16,Q16,S16,U16,W16,Y16)</f>
        <v>0</v>
      </c>
      <c r="AB16" s="337" t="e">
        <f>+SUM(F16,H16,J16,L16,N16,P16,R16,T16,V16,X16,Z16)</f>
        <v>#REF!</v>
      </c>
      <c r="AC16" s="3"/>
    </row>
    <row r="17" spans="2:34" ht="24.95" customHeight="1">
      <c r="B17" s="362"/>
      <c r="C17" s="650"/>
      <c r="D17" s="653"/>
      <c r="E17" s="423" t="e">
        <f>+IF(F17&gt;0,F17/$AB17,0)</f>
        <v>#REF!</v>
      </c>
      <c r="F17" s="339">
        <v>907723</v>
      </c>
      <c r="G17" s="376"/>
      <c r="H17" s="339"/>
      <c r="I17" s="376"/>
      <c r="J17" s="339"/>
      <c r="K17" s="376"/>
      <c r="L17" s="339"/>
      <c r="M17" s="376"/>
      <c r="N17" s="363"/>
      <c r="O17" s="376">
        <f>+IF(P17&gt;0,P17/$AB17,0)</f>
        <v>0</v>
      </c>
      <c r="P17" s="363"/>
      <c r="Q17" s="376">
        <f>+IF(R17&gt;0,R17/$AB17,0)</f>
        <v>0</v>
      </c>
      <c r="R17" s="363"/>
      <c r="S17" s="376">
        <f>+IF(T17&gt;0,T17/$AB17,0)</f>
        <v>0</v>
      </c>
      <c r="T17" s="363"/>
      <c r="U17" s="376">
        <f>+IF(V17&gt;0,V17/$AB17,0)</f>
        <v>0</v>
      </c>
      <c r="V17" s="363"/>
      <c r="W17" s="423" t="e">
        <f>+IF(X17&gt;0,X17/$AB17,0)</f>
        <v>#REF!</v>
      </c>
      <c r="X17" s="339" t="e">
        <f>#REF!-F16</f>
        <v>#REF!</v>
      </c>
      <c r="Y17" s="376">
        <f>+IF(Z17&gt;0,Z17/$AB17,0)</f>
        <v>0</v>
      </c>
      <c r="Z17" s="363"/>
      <c r="AA17" s="380" t="e">
        <f>+SUM(E17,G17,I17,K17,M17,O17,Q17,S17,U17,W17,Y17)</f>
        <v>#REF!</v>
      </c>
      <c r="AB17" s="347" t="e">
        <f>+SUM(F17,H17,J17,L17,N17,P17,R17,T17,V17,X17,Z17)</f>
        <v>#REF!</v>
      </c>
      <c r="AC17" s="1"/>
    </row>
    <row r="18" spans="2:34" ht="24.95" customHeight="1">
      <c r="B18" s="362"/>
      <c r="C18" s="650"/>
      <c r="D18" s="654" t="s">
        <v>795</v>
      </c>
      <c r="E18" s="368"/>
      <c r="F18" s="369" t="e">
        <f>#REF!</f>
        <v>#REF!</v>
      </c>
      <c r="G18" s="341"/>
      <c r="H18" s="341"/>
      <c r="I18" s="341"/>
      <c r="J18" s="341"/>
      <c r="K18" s="341"/>
      <c r="L18" s="341"/>
      <c r="M18" s="341"/>
      <c r="N18" s="341"/>
      <c r="O18" s="341"/>
      <c r="P18" s="341">
        <f>+IF(P16&gt;0,ROUND($AB18*O16,-3),0)</f>
        <v>0</v>
      </c>
      <c r="Q18" s="341"/>
      <c r="R18" s="341">
        <f>+IF(R16&gt;0,ROUND($AB18*Q16,-3),0)</f>
        <v>0</v>
      </c>
      <c r="S18" s="341"/>
      <c r="T18" s="341">
        <f>+IF(T16&gt;0,ROUND($AB18*S16,-3),0)</f>
        <v>0</v>
      </c>
      <c r="U18" s="341"/>
      <c r="V18" s="341">
        <f>+IF(V16&gt;0,ROUND($AB18*U16,-3),0)</f>
        <v>0</v>
      </c>
      <c r="W18" s="341"/>
      <c r="X18" s="369">
        <f>'施行経費内訳 (単独)'!F20</f>
        <v>0</v>
      </c>
      <c r="Y18" s="341"/>
      <c r="Z18" s="341" t="e">
        <f>+AB18-SUM(F18:X18)</f>
        <v>#REF!</v>
      </c>
      <c r="AA18" s="341"/>
      <c r="AB18" s="341" t="e">
        <f>#REF!+'施行経費内訳 (単独)'!F20</f>
        <v>#REF!</v>
      </c>
      <c r="AC18" s="332"/>
      <c r="AD18" s="370" t="e">
        <f>+SUM(F18,H18,J18,L18,N18,P18,R18,T18,V18,X18,Z18)</f>
        <v>#REF!</v>
      </c>
      <c r="AE18" t="e">
        <f>+IF(AB18&gt;0,IF(AB18=AD18,"〇","×"),"")</f>
        <v>#REF!</v>
      </c>
    </row>
    <row r="19" spans="2:34" ht="24.95" customHeight="1">
      <c r="B19" s="362"/>
      <c r="C19" s="651"/>
      <c r="D19" s="655"/>
      <c r="E19" s="424" t="e">
        <f>+IF(F19&gt;0,F19/$AB19,0)</f>
        <v>#REF!</v>
      </c>
      <c r="F19" s="372">
        <v>6860000</v>
      </c>
      <c r="G19" s="342"/>
      <c r="H19" s="342"/>
      <c r="I19" s="342"/>
      <c r="J19" s="342"/>
      <c r="K19" s="342"/>
      <c r="L19" s="342"/>
      <c r="M19" s="378"/>
      <c r="N19" s="378"/>
      <c r="O19" s="378"/>
      <c r="P19" s="378">
        <f>+IF(P17&gt;0,ROUND($AB19*O17,-3),0)</f>
        <v>0</v>
      </c>
      <c r="Q19" s="378"/>
      <c r="R19" s="378">
        <f>+IF(R17&gt;0,ROUND($AB19*Q17,-3),0)</f>
        <v>0</v>
      </c>
      <c r="S19" s="378"/>
      <c r="T19" s="378">
        <f>+IF(T17&gt;0,ROUND($AB19*S17,-3),0)</f>
        <v>0</v>
      </c>
      <c r="U19" s="378"/>
      <c r="V19" s="378">
        <f>+IF(V17&gt;0,ROUND($AB19*U17,-3),0)</f>
        <v>0</v>
      </c>
      <c r="W19" s="425" t="e">
        <f>+IF(X19&gt;0,X19/$AB19,0)</f>
        <v>#REF!</v>
      </c>
      <c r="X19" s="372" t="e">
        <f>#REF!-F18</f>
        <v>#REF!</v>
      </c>
      <c r="Y19" s="378"/>
      <c r="Z19" s="378"/>
      <c r="AA19" s="378"/>
      <c r="AB19" s="342" t="e">
        <f>#REF!</f>
        <v>#REF!</v>
      </c>
      <c r="AC19" s="6"/>
      <c r="AD19" s="370" t="e">
        <f>+SUM(F19,H19,J19,L19,N19,P19,R19,T19,V19,X19,Z19)</f>
        <v>#REF!</v>
      </c>
      <c r="AE19" t="e">
        <f>+IF(AB19&gt;0,IF(AB19=AD19,"〇","×"),"")</f>
        <v>#REF!</v>
      </c>
    </row>
    <row r="20" spans="2:34" ht="24.95" customHeight="1">
      <c r="B20" s="362"/>
      <c r="C20" s="649" t="s">
        <v>495</v>
      </c>
      <c r="D20" s="652"/>
      <c r="E20" s="330"/>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
    </row>
    <row r="21" spans="2:34" ht="24.95" customHeight="1">
      <c r="B21" s="362"/>
      <c r="C21" s="650"/>
      <c r="D21" s="653"/>
      <c r="E21" s="334"/>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1"/>
    </row>
    <row r="22" spans="2:34" ht="24.95" customHeight="1">
      <c r="B22" s="362"/>
      <c r="C22" s="650"/>
      <c r="D22" s="652" t="s">
        <v>120</v>
      </c>
      <c r="E22" s="366">
        <f>+IF(F22&gt;0,F22/$AB22,0)</f>
        <v>0</v>
      </c>
      <c r="F22" s="361"/>
      <c r="G22" s="366"/>
      <c r="H22" s="361"/>
      <c r="I22" s="366"/>
      <c r="J22" s="361"/>
      <c r="K22" s="366"/>
      <c r="L22" s="361"/>
      <c r="M22" s="366"/>
      <c r="N22" s="361"/>
      <c r="O22" s="366">
        <f>+IF(P22&gt;0,P22/$AB22,0)</f>
        <v>0</v>
      </c>
      <c r="P22" s="361"/>
      <c r="Q22" s="366">
        <f>+IF(R22&gt;0,R22/$AB22,0)</f>
        <v>0</v>
      </c>
      <c r="R22" s="361"/>
      <c r="S22" s="366">
        <f>+IF(T22&gt;0,T22/$AB22,0)</f>
        <v>0</v>
      </c>
      <c r="T22" s="361"/>
      <c r="U22" s="366">
        <f>+IF(V22&gt;0,V22/$AB22,0)</f>
        <v>0</v>
      </c>
      <c r="V22" s="361"/>
      <c r="W22" s="366">
        <f>+IF(X22&gt;0,X22/$AB22,0)</f>
        <v>0</v>
      </c>
      <c r="X22" s="361"/>
      <c r="Y22" s="366">
        <f>+IF(Z22&gt;0,Z22/$AB22,0)</f>
        <v>0</v>
      </c>
      <c r="Z22" s="361"/>
      <c r="AA22" s="366">
        <f>+SUM(E22,G22,I22,K22,M22,O22,Q22,S22,U22,W22,Y22)</f>
        <v>0</v>
      </c>
      <c r="AB22" s="337">
        <f>+SUM(F22,H22,J22,L22,N22,P22,R22,T22,V22,X22,Z22)</f>
        <v>0</v>
      </c>
      <c r="AC22" s="3"/>
    </row>
    <row r="23" spans="2:34" ht="24.95" customHeight="1">
      <c r="B23" s="362"/>
      <c r="C23" s="650"/>
      <c r="D23" s="653"/>
      <c r="E23" s="367">
        <f>+IF(F23&gt;0,F23/$AB23,0)</f>
        <v>0</v>
      </c>
      <c r="F23" s="339"/>
      <c r="G23" s="367"/>
      <c r="H23" s="339"/>
      <c r="I23" s="367"/>
      <c r="J23" s="339"/>
      <c r="K23" s="367"/>
      <c r="L23" s="339"/>
      <c r="M23" s="367"/>
      <c r="N23" s="363"/>
      <c r="O23" s="367">
        <f>+IF(P23&gt;0,P23/$AB23,0)</f>
        <v>0</v>
      </c>
      <c r="P23" s="363"/>
      <c r="Q23" s="367">
        <f>+IF(R23&gt;0,R23/$AB23,0)</f>
        <v>0</v>
      </c>
      <c r="R23" s="363"/>
      <c r="S23" s="367">
        <f>+IF(T23&gt;0,T23/$AB23,0)</f>
        <v>0</v>
      </c>
      <c r="T23" s="363"/>
      <c r="U23" s="367">
        <f>+IF(V23&gt;0,V23/$AB23,0)</f>
        <v>0</v>
      </c>
      <c r="V23" s="363"/>
      <c r="W23" s="367">
        <f>+IF(X23&gt;0,X23/$AB23,0)</f>
        <v>0</v>
      </c>
      <c r="X23" s="363"/>
      <c r="Y23" s="367">
        <f>+IF(Z23&gt;0,Z23/$AB23,0)</f>
        <v>0</v>
      </c>
      <c r="Z23" s="363"/>
      <c r="AA23" s="367">
        <f>+SUM(E23,G23,I23,K23,M23,O23,Q23,S23,U23,W23,Y23)</f>
        <v>0</v>
      </c>
      <c r="AB23" s="364">
        <f>+SUM(F23,H23,J23,L23,N23,P23,R23,T23,V23,X23,Z23)</f>
        <v>0</v>
      </c>
      <c r="AC23" s="1"/>
    </row>
    <row r="24" spans="2:34" ht="24.95" customHeight="1">
      <c r="B24" s="362"/>
      <c r="C24" s="650"/>
      <c r="D24" s="654" t="s">
        <v>795</v>
      </c>
      <c r="E24" s="368"/>
      <c r="F24" s="341">
        <f>+IF(F22&gt;0,ROUND($AB24*E22,-3),0)</f>
        <v>0</v>
      </c>
      <c r="G24" s="341"/>
      <c r="H24" s="341"/>
      <c r="I24" s="341"/>
      <c r="J24" s="341"/>
      <c r="K24" s="341"/>
      <c r="L24" s="341"/>
      <c r="M24" s="341"/>
      <c r="N24" s="341"/>
      <c r="O24" s="341"/>
      <c r="P24" s="341">
        <f>+IF(P22&gt;0,ROUND($AB24*O22,-3),0)</f>
        <v>0</v>
      </c>
      <c r="Q24" s="341"/>
      <c r="R24" s="341">
        <f>+IF(R22&gt;0,ROUND($AB24*Q22,-3),0)</f>
        <v>0</v>
      </c>
      <c r="S24" s="341"/>
      <c r="T24" s="341">
        <f>+IF(T22&gt;0,ROUND($AB24*S22,-3),0)</f>
        <v>0</v>
      </c>
      <c r="U24" s="341"/>
      <c r="V24" s="341">
        <f>+IF(V22&gt;0,ROUND($AB24*U22,-3),0)</f>
        <v>0</v>
      </c>
      <c r="W24" s="341"/>
      <c r="X24" s="341">
        <f>+IF(X22&gt;0,ROUND($AB24*W22,-3),0)</f>
        <v>0</v>
      </c>
      <c r="Y24" s="341"/>
      <c r="Z24" s="341">
        <f>+AB24-SUM(F24:X24)</f>
        <v>0</v>
      </c>
      <c r="AA24" s="341"/>
      <c r="AB24" s="377"/>
      <c r="AC24" s="332"/>
      <c r="AD24" s="370">
        <f t="shared" ref="AD24:AD31" si="1">+SUM(F24,H24,J24,L24,N24,P24,R24,T24,V24,X24,Z24)</f>
        <v>0</v>
      </c>
      <c r="AE24" t="str">
        <f t="shared" ref="AE24:AE31" si="2">+IF(AB24&gt;0,IF(AB24=AD24,"〇","×"),"")</f>
        <v/>
      </c>
    </row>
    <row r="25" spans="2:34" ht="24.95" customHeight="1">
      <c r="B25" s="362"/>
      <c r="C25" s="651"/>
      <c r="D25" s="655"/>
      <c r="E25" s="379"/>
      <c r="F25" s="342">
        <f>+IF(F23&gt;0,ROUND($AB25*E23,-3),0)</f>
        <v>0</v>
      </c>
      <c r="G25" s="342"/>
      <c r="H25" s="342"/>
      <c r="I25" s="342"/>
      <c r="J25" s="342"/>
      <c r="K25" s="342"/>
      <c r="L25" s="342"/>
      <c r="M25" s="378"/>
      <c r="N25" s="378"/>
      <c r="O25" s="378"/>
      <c r="P25" s="378">
        <f>+IF(P23&gt;0,ROUND($AB25*O23,-3),0)</f>
        <v>0</v>
      </c>
      <c r="Q25" s="378"/>
      <c r="R25" s="378">
        <f>+IF(R23&gt;0,ROUND($AB25*Q23,-3),0)</f>
        <v>0</v>
      </c>
      <c r="S25" s="378"/>
      <c r="T25" s="378">
        <f>+IF(T23&gt;0,ROUND($AB25*S23,-3),0)</f>
        <v>0</v>
      </c>
      <c r="U25" s="378"/>
      <c r="V25" s="378">
        <f>+IF(V23&gt;0,ROUND($AB25*U23,-3),0)</f>
        <v>0</v>
      </c>
      <c r="W25" s="378"/>
      <c r="X25" s="378">
        <f>+IF(X23&gt;0,ROUND($AB25*W23,-3),0)</f>
        <v>0</v>
      </c>
      <c r="Y25" s="378"/>
      <c r="Z25" s="378">
        <f>+AB25-SUM(F25:X25)</f>
        <v>0</v>
      </c>
      <c r="AA25" s="378"/>
      <c r="AB25" s="342"/>
      <c r="AC25" s="6"/>
      <c r="AD25" s="370">
        <f>+SUM(F25,H25,J25,L25,N25,P25,R25,T25,V25,X25,Z25)</f>
        <v>0</v>
      </c>
      <c r="AE25" t="str">
        <f>+IF(AB25&gt;0,IF(AB25=AD25,"〇","×"),"")</f>
        <v/>
      </c>
      <c r="AF25" s="335" t="e">
        <f>+IF(F26&gt;0,F26*10%,0)</f>
        <v>#REF!</v>
      </c>
      <c r="AG25" t="s">
        <v>947</v>
      </c>
      <c r="AH25" s="337" t="e">
        <f>+IF(AB26&gt;0,AB26*10%,0)</f>
        <v>#REF!</v>
      </c>
    </row>
    <row r="26" spans="2:34" ht="24.95" customHeight="1">
      <c r="B26" s="622" t="s">
        <v>438</v>
      </c>
      <c r="C26" s="656"/>
      <c r="D26" s="657"/>
      <c r="E26" s="375"/>
      <c r="F26" s="337" t="e">
        <f>+SUM(F12,F18,F24)</f>
        <v>#REF!</v>
      </c>
      <c r="G26" s="375"/>
      <c r="H26" s="337"/>
      <c r="I26" s="375"/>
      <c r="J26" s="337"/>
      <c r="K26" s="375"/>
      <c r="L26" s="337"/>
      <c r="M26" s="375"/>
      <c r="N26" s="337"/>
      <c r="O26" s="375">
        <f>+IF(P26&gt;0,P26/$AB26,0)</f>
        <v>0</v>
      </c>
      <c r="P26" s="337">
        <f>+SUM(P12,P18,P24)</f>
        <v>0</v>
      </c>
      <c r="Q26" s="375">
        <f>+IF(R26&gt;0,R26/$AB26,0)</f>
        <v>0</v>
      </c>
      <c r="R26" s="337">
        <f>+SUM(R12,R18,R24)</f>
        <v>0</v>
      </c>
      <c r="S26" s="375">
        <f>+IF(T26&gt;0,T26/$AB26,0)</f>
        <v>0</v>
      </c>
      <c r="T26" s="337">
        <f>+SUM(T12,T18,T24)</f>
        <v>0</v>
      </c>
      <c r="U26" s="375">
        <f>+IF(V26&gt;0,V26/$AB26,0)</f>
        <v>0</v>
      </c>
      <c r="V26" s="337">
        <f>+SUM(V12,V18,V24)</f>
        <v>0</v>
      </c>
      <c r="W26" s="375"/>
      <c r="X26" s="337">
        <f>+SUM(X12,X18,X24)</f>
        <v>0</v>
      </c>
      <c r="Y26" s="375" t="e">
        <f>+IF(Z26&gt;0,Z26/$AB26,0)</f>
        <v>#REF!</v>
      </c>
      <c r="Z26" s="337" t="e">
        <f>+SUM(Z12,Z18,Z24)</f>
        <v>#REF!</v>
      </c>
      <c r="AA26" s="366" t="e">
        <f>+SUM(E26,G26,I26,K26,M26,O26,Q26,S26,U26,W26,Y26)</f>
        <v>#REF!</v>
      </c>
      <c r="AB26" s="337" t="e">
        <f>+SUM(AB12,AB18,AB24)</f>
        <v>#REF!</v>
      </c>
      <c r="AC26" s="3"/>
      <c r="AD26" s="370" t="e">
        <f>+SUM(F26,H26,J26,L26,N26,P26,R26,T26,V26,X26,Z26)</f>
        <v>#REF!</v>
      </c>
      <c r="AE26" t="e">
        <f t="shared" si="2"/>
        <v>#REF!</v>
      </c>
      <c r="AF26" s="335" t="e">
        <f>+SUM(F12,F18,F25)</f>
        <v>#REF!</v>
      </c>
      <c r="AG26" t="s">
        <v>948</v>
      </c>
    </row>
    <row r="27" spans="2:34" ht="24.95" customHeight="1">
      <c r="B27" s="618"/>
      <c r="C27" s="619"/>
      <c r="D27" s="620"/>
      <c r="E27" s="380" t="e">
        <f>+IF(F27&gt;0,F27/$AB27,0)</f>
        <v>#REF!</v>
      </c>
      <c r="F27" s="339">
        <f>+SUM(F13,F19,F25)</f>
        <v>14610000</v>
      </c>
      <c r="G27" s="380"/>
      <c r="H27" s="339"/>
      <c r="I27" s="380"/>
      <c r="J27" s="339"/>
      <c r="K27" s="380"/>
      <c r="L27" s="339"/>
      <c r="M27" s="380"/>
      <c r="N27" s="339"/>
      <c r="O27" s="367">
        <f>+IF(P27&gt;0,P27/$AB27,0)</f>
        <v>0</v>
      </c>
      <c r="P27" s="346">
        <f>+SUM(P13,P19,P25)</f>
        <v>0</v>
      </c>
      <c r="Q27" s="367">
        <f>+IF(R27&gt;0,R27/$AB27,0)</f>
        <v>0</v>
      </c>
      <c r="R27" s="346">
        <f>+SUM(R13,R19,R25)</f>
        <v>0</v>
      </c>
      <c r="S27" s="367">
        <f>+IF(T27&gt;0,T27/$AB27,0)</f>
        <v>0</v>
      </c>
      <c r="T27" s="346">
        <f>+SUM(T13,T19,T25)</f>
        <v>0</v>
      </c>
      <c r="U27" s="367">
        <f>+IF(V27&gt;0,V27/$AB27,0)</f>
        <v>0</v>
      </c>
      <c r="V27" s="346">
        <f>+SUM(V13,V19,V25)</f>
        <v>0</v>
      </c>
      <c r="W27" s="380" t="e">
        <f>+IF(X27&gt;0,X27/$AB27,0)</f>
        <v>#REF!</v>
      </c>
      <c r="X27" s="339" t="e">
        <f>+SUM(X13,X19,X25)</f>
        <v>#REF!</v>
      </c>
      <c r="Y27" s="367">
        <f>+IF(Z27&gt;0,Z27/$AB27,0)</f>
        <v>0</v>
      </c>
      <c r="Z27" s="346">
        <f>+SUM(Z13,Z19,Z25)</f>
        <v>0</v>
      </c>
      <c r="AA27" s="367" t="e">
        <f>+SUM(E27,G27,I27,K27,M27,O27,Q27,S27,U27,W27,Y27)</f>
        <v>#REF!</v>
      </c>
      <c r="AB27" s="339" t="e">
        <f>+SUM(AB13,AB19,AB25)</f>
        <v>#REF!</v>
      </c>
      <c r="AC27" s="1"/>
      <c r="AD27" s="370" t="e">
        <f t="shared" si="1"/>
        <v>#REF!</v>
      </c>
      <c r="AE27" t="e">
        <f t="shared" si="2"/>
        <v>#REF!</v>
      </c>
    </row>
    <row r="28" spans="2:34" ht="24.95" customHeight="1">
      <c r="B28" s="601" t="s">
        <v>439</v>
      </c>
      <c r="C28" s="621"/>
      <c r="D28" s="602"/>
      <c r="E28" s="375"/>
      <c r="F28" s="337" t="e">
        <f>ROUNDDOWN(AF25,0)</f>
        <v>#REF!</v>
      </c>
      <c r="G28" s="375"/>
      <c r="H28" s="337"/>
      <c r="I28" s="337"/>
      <c r="J28" s="337"/>
      <c r="K28" s="337"/>
      <c r="L28" s="337"/>
      <c r="M28" s="337"/>
      <c r="N28" s="337"/>
      <c r="O28" s="337"/>
      <c r="P28" s="337">
        <f t="shared" ref="P28:Z29" si="3">+IF(P26&gt;0,P26*10%,0)</f>
        <v>0</v>
      </c>
      <c r="Q28" s="337"/>
      <c r="R28" s="337">
        <f t="shared" si="3"/>
        <v>0</v>
      </c>
      <c r="S28" s="337"/>
      <c r="T28" s="337">
        <f t="shared" si="3"/>
        <v>0</v>
      </c>
      <c r="U28" s="337"/>
      <c r="V28" s="337">
        <f t="shared" si="3"/>
        <v>0</v>
      </c>
      <c r="W28" s="337"/>
      <c r="X28" s="337">
        <f t="shared" si="3"/>
        <v>0</v>
      </c>
      <c r="Y28" s="337"/>
      <c r="Z28" s="337" t="e">
        <f t="shared" si="3"/>
        <v>#REF!</v>
      </c>
      <c r="AA28" s="337"/>
      <c r="AB28" s="337" t="e">
        <f>ROUNDDOWN(AH25,0)</f>
        <v>#REF!</v>
      </c>
      <c r="AC28" s="3"/>
      <c r="AD28" s="370" t="e">
        <f>+SUM(F28,H28,J28,L28,N28,P28,R28,T28,V28,X28,Z28)</f>
        <v>#REF!</v>
      </c>
      <c r="AE28" t="e">
        <f t="shared" si="2"/>
        <v>#REF!</v>
      </c>
    </row>
    <row r="29" spans="2:34" ht="24.95" customHeight="1">
      <c r="B29" s="603"/>
      <c r="C29" s="623"/>
      <c r="D29" s="604"/>
      <c r="E29" s="367"/>
      <c r="F29" s="347">
        <f>+IF(F27&gt;0,F27*10%,0)</f>
        <v>1461000</v>
      </c>
      <c r="G29" s="380"/>
      <c r="H29" s="347"/>
      <c r="I29" s="347"/>
      <c r="J29" s="347"/>
      <c r="K29" s="347"/>
      <c r="L29" s="347"/>
      <c r="M29" s="364"/>
      <c r="N29" s="347"/>
      <c r="O29" s="364"/>
      <c r="P29" s="364">
        <f t="shared" si="3"/>
        <v>0</v>
      </c>
      <c r="Q29" s="364"/>
      <c r="R29" s="364">
        <f t="shared" si="3"/>
        <v>0</v>
      </c>
      <c r="S29" s="364"/>
      <c r="T29" s="364">
        <f t="shared" si="3"/>
        <v>0</v>
      </c>
      <c r="U29" s="364"/>
      <c r="V29" s="364">
        <f t="shared" si="3"/>
        <v>0</v>
      </c>
      <c r="W29" s="364"/>
      <c r="X29" s="426" t="e">
        <f t="shared" si="3"/>
        <v>#REF!</v>
      </c>
      <c r="Y29" s="364"/>
      <c r="Z29" s="364">
        <f t="shared" si="3"/>
        <v>0</v>
      </c>
      <c r="AA29" s="364"/>
      <c r="AB29" s="347" t="e">
        <f>+IF(AB27&gt;0,AB27*10%,0)</f>
        <v>#REF!</v>
      </c>
      <c r="AC29" s="1"/>
      <c r="AD29" s="370" t="e">
        <f t="shared" si="1"/>
        <v>#REF!</v>
      </c>
      <c r="AE29" t="e">
        <f t="shared" si="2"/>
        <v>#REF!</v>
      </c>
    </row>
    <row r="30" spans="2:34" ht="24.95" customHeight="1">
      <c r="B30" s="601" t="s">
        <v>440</v>
      </c>
      <c r="C30" s="621"/>
      <c r="D30" s="602"/>
      <c r="E30" s="375"/>
      <c r="F30" s="337" t="e">
        <f>F26+F28</f>
        <v>#REF!</v>
      </c>
      <c r="G30" s="375"/>
      <c r="H30" s="337"/>
      <c r="I30" s="337"/>
      <c r="J30" s="337"/>
      <c r="K30" s="337"/>
      <c r="L30" s="337"/>
      <c r="M30" s="337"/>
      <c r="N30" s="337"/>
      <c r="O30" s="337"/>
      <c r="P30" s="337">
        <f t="shared" ref="P30:X31" si="4">+SUM(P26,P28)</f>
        <v>0</v>
      </c>
      <c r="Q30" s="337"/>
      <c r="R30" s="337">
        <f t="shared" si="4"/>
        <v>0</v>
      </c>
      <c r="S30" s="337"/>
      <c r="T30" s="337">
        <f t="shared" si="4"/>
        <v>0</v>
      </c>
      <c r="U30" s="337"/>
      <c r="V30" s="337">
        <f t="shared" si="4"/>
        <v>0</v>
      </c>
      <c r="W30" s="337"/>
      <c r="X30" s="337">
        <f t="shared" si="4"/>
        <v>0</v>
      </c>
      <c r="Y30" s="337"/>
      <c r="Z30" s="337" t="e">
        <f>+SUM(Z26,Z28)</f>
        <v>#REF!</v>
      </c>
      <c r="AA30" s="337"/>
      <c r="AB30" s="337" t="e">
        <f>AB26+AB28</f>
        <v>#REF!</v>
      </c>
      <c r="AC30" s="3"/>
      <c r="AD30" s="370" t="e">
        <f>+SUM(F30,H30,J30,L30,N30,P30,R30,T30,V30,X30,Z30)</f>
        <v>#REF!</v>
      </c>
      <c r="AE30" t="e">
        <f>+IF(AB30&gt;0,IF(AB30=AD30,"〇","×"),"")</f>
        <v>#REF!</v>
      </c>
    </row>
    <row r="31" spans="2:34" ht="24.95" customHeight="1">
      <c r="B31" s="603"/>
      <c r="C31" s="623"/>
      <c r="D31" s="604"/>
      <c r="E31" s="367"/>
      <c r="F31" s="347">
        <f>+SUM(F27,F29)</f>
        <v>16071000</v>
      </c>
      <c r="G31" s="380"/>
      <c r="H31" s="347"/>
      <c r="I31" s="347"/>
      <c r="J31" s="347"/>
      <c r="K31" s="347"/>
      <c r="L31" s="347"/>
      <c r="M31" s="364"/>
      <c r="N31" s="347"/>
      <c r="O31" s="364"/>
      <c r="P31" s="364">
        <f t="shared" si="4"/>
        <v>0</v>
      </c>
      <c r="Q31" s="364"/>
      <c r="R31" s="364">
        <f t="shared" si="4"/>
        <v>0</v>
      </c>
      <c r="S31" s="364"/>
      <c r="T31" s="364">
        <f t="shared" si="4"/>
        <v>0</v>
      </c>
      <c r="U31" s="364"/>
      <c r="V31" s="364">
        <f t="shared" si="4"/>
        <v>0</v>
      </c>
      <c r="W31" s="364"/>
      <c r="X31" s="347" t="e">
        <f t="shared" si="4"/>
        <v>#REF!</v>
      </c>
      <c r="Y31" s="364"/>
      <c r="Z31" s="364">
        <f>+SUM(Z27,Z29)</f>
        <v>0</v>
      </c>
      <c r="AA31" s="364"/>
      <c r="AB31" s="347" t="e">
        <f>+SUM(AB27,AB29)</f>
        <v>#REF!</v>
      </c>
      <c r="AC31" s="1"/>
      <c r="AD31" s="370" t="e">
        <f t="shared" si="1"/>
        <v>#REF!</v>
      </c>
      <c r="AE31" t="e">
        <f t="shared" si="2"/>
        <v>#REF!</v>
      </c>
    </row>
    <row r="32" spans="2:34" ht="18.75" customHeight="1">
      <c r="E32" s="381"/>
      <c r="F32" s="370"/>
      <c r="G32" s="381"/>
      <c r="H32" s="370"/>
      <c r="I32" s="370"/>
      <c r="J32" s="370"/>
      <c r="K32" s="370"/>
      <c r="L32" s="370"/>
      <c r="M32" s="370"/>
      <c r="N32" s="370"/>
      <c r="O32" s="370"/>
      <c r="P32" s="370"/>
      <c r="Q32" s="370"/>
      <c r="R32" s="370"/>
      <c r="S32" s="370"/>
      <c r="T32" s="370"/>
      <c r="U32" s="370"/>
      <c r="V32" s="370"/>
      <c r="W32" s="370"/>
      <c r="X32" s="370"/>
      <c r="Y32" s="370"/>
      <c r="Z32" s="370"/>
      <c r="AA32" s="370"/>
      <c r="AB32" s="370"/>
      <c r="AD32" s="370"/>
    </row>
    <row r="33" spans="2:31" ht="24.95" customHeight="1">
      <c r="B33" s="601" t="s">
        <v>796</v>
      </c>
      <c r="C33" s="621"/>
      <c r="D33" s="602"/>
      <c r="E33" s="375"/>
      <c r="F33" s="337" t="e">
        <f>+IF(F$1=1,F30,0)</f>
        <v>#REF!</v>
      </c>
      <c r="G33" s="375"/>
      <c r="H33" s="337"/>
      <c r="I33" s="337"/>
      <c r="J33" s="337"/>
      <c r="K33" s="337"/>
      <c r="L33" s="337"/>
      <c r="M33" s="337"/>
      <c r="N33" s="337"/>
      <c r="O33" s="337"/>
      <c r="P33" s="337">
        <f>+IF(P$1=1,P30,0)</f>
        <v>0</v>
      </c>
      <c r="Q33" s="337"/>
      <c r="R33" s="337">
        <f>+IF(R$1=1,R30,0)</f>
        <v>0</v>
      </c>
      <c r="S33" s="337"/>
      <c r="T33" s="337">
        <f>+IF(T$1=1,T30,0)</f>
        <v>0</v>
      </c>
      <c r="U33" s="337"/>
      <c r="V33" s="337">
        <f>+IF(V$1=1,V30,0)</f>
        <v>0</v>
      </c>
      <c r="W33" s="337"/>
      <c r="X33" s="337">
        <f>+IF(X$1=1,X30,0)</f>
        <v>0</v>
      </c>
      <c r="Y33" s="337"/>
      <c r="Z33" s="337"/>
      <c r="AA33" s="337"/>
      <c r="AB33" s="337" t="e">
        <f>+SUM(F33,H33,J33,L33,N33,P33,R33,T33,V33,X33,Z33)</f>
        <v>#REF!</v>
      </c>
      <c r="AC33" s="3"/>
      <c r="AD33" s="370"/>
    </row>
    <row r="34" spans="2:31" ht="24.95" customHeight="1">
      <c r="B34" s="603"/>
      <c r="C34" s="623"/>
      <c r="D34" s="604"/>
      <c r="E34" s="367"/>
      <c r="F34" s="347">
        <f>+IF(F$1=1,F31,0)</f>
        <v>16071000</v>
      </c>
      <c r="G34" s="380"/>
      <c r="H34" s="347"/>
      <c r="I34" s="347"/>
      <c r="J34" s="347"/>
      <c r="K34" s="347"/>
      <c r="L34" s="347"/>
      <c r="M34" s="364"/>
      <c r="N34" s="364"/>
      <c r="O34" s="364"/>
      <c r="P34" s="364">
        <f>+IF(P$1=1,P31,0)</f>
        <v>0</v>
      </c>
      <c r="Q34" s="364"/>
      <c r="R34" s="364">
        <f>+IF(R$1=1,R31,0)</f>
        <v>0</v>
      </c>
      <c r="S34" s="364"/>
      <c r="T34" s="364">
        <f>+IF(T$1=1,T31,0)</f>
        <v>0</v>
      </c>
      <c r="U34" s="364"/>
      <c r="V34" s="364">
        <f>+IF(V$1=1,V31,0)</f>
        <v>0</v>
      </c>
      <c r="W34" s="364"/>
      <c r="X34" s="347" t="e">
        <f>+IF(X$1=1,X31,0)</f>
        <v>#REF!</v>
      </c>
      <c r="Y34" s="364"/>
      <c r="Z34" s="364"/>
      <c r="AA34" s="364"/>
      <c r="AB34" s="347" t="e">
        <f>+SUM(F34,H34,J34,L34,N34,P34,R34,T34,V34,X34,Z34)</f>
        <v>#REF!</v>
      </c>
      <c r="AC34" s="1"/>
      <c r="AD34" s="370"/>
    </row>
    <row r="35" spans="2:31" ht="24.95" customHeight="1">
      <c r="B35" s="601" t="s">
        <v>797</v>
      </c>
      <c r="C35" s="621"/>
      <c r="D35" s="602"/>
      <c r="E35" s="375"/>
      <c r="F35" s="337">
        <f>+IF(F$1=2,F30,0)</f>
        <v>0</v>
      </c>
      <c r="G35" s="375"/>
      <c r="H35" s="337"/>
      <c r="I35" s="337"/>
      <c r="J35" s="337"/>
      <c r="K35" s="337"/>
      <c r="L35" s="337"/>
      <c r="M35" s="337"/>
      <c r="N35" s="337"/>
      <c r="O35" s="337"/>
      <c r="P35" s="337">
        <f>+IF(P$1=2,P30,0)</f>
        <v>0</v>
      </c>
      <c r="Q35" s="337"/>
      <c r="R35" s="337">
        <f>+IF(R$1=2,R30,0)</f>
        <v>0</v>
      </c>
      <c r="S35" s="337"/>
      <c r="T35" s="337">
        <f>+IF(T$1=2,T30,0)</f>
        <v>0</v>
      </c>
      <c r="U35" s="337"/>
      <c r="V35" s="337">
        <f>+IF(V$1=2,V30,0)</f>
        <v>0</v>
      </c>
      <c r="W35" s="337"/>
      <c r="X35" s="337">
        <f>+IF(X$1=2,X30,0)</f>
        <v>0</v>
      </c>
      <c r="Y35" s="337"/>
      <c r="Z35" s="337">
        <f>+IF(Z$1=2,Z30,0)</f>
        <v>0</v>
      </c>
      <c r="AA35" s="337"/>
      <c r="AB35" s="337">
        <f>+SUM(F35,H35,J35,L35,N35,P35,R35,T35,V35,X35,Z35)</f>
        <v>0</v>
      </c>
      <c r="AC35" s="3"/>
      <c r="AD35" s="370"/>
    </row>
    <row r="36" spans="2:31" ht="24.95" customHeight="1">
      <c r="B36" s="603"/>
      <c r="C36" s="623"/>
      <c r="D36" s="604"/>
      <c r="E36" s="367"/>
      <c r="F36" s="364">
        <f>+IF(F$1=2,F31,0)</f>
        <v>0</v>
      </c>
      <c r="G36" s="367"/>
      <c r="H36" s="364"/>
      <c r="I36" s="364"/>
      <c r="J36" s="364"/>
      <c r="K36" s="364"/>
      <c r="L36" s="364"/>
      <c r="M36" s="364"/>
      <c r="N36" s="347"/>
      <c r="O36" s="364"/>
      <c r="P36" s="364">
        <f>+IF(P$1=2,P31,0)</f>
        <v>0</v>
      </c>
      <c r="Q36" s="364"/>
      <c r="R36" s="364">
        <f>+IF(R$1=2,R31,0)</f>
        <v>0</v>
      </c>
      <c r="S36" s="364"/>
      <c r="T36" s="364">
        <f>+IF(T$1=2,T31,0)</f>
        <v>0</v>
      </c>
      <c r="U36" s="364"/>
      <c r="V36" s="364">
        <f>+IF(V$1=2,V31,0)</f>
        <v>0</v>
      </c>
      <c r="W36" s="364"/>
      <c r="X36" s="364">
        <f>+IF(X$1=2,X31,0)</f>
        <v>0</v>
      </c>
      <c r="Y36" s="364"/>
      <c r="Z36" s="364">
        <f>+IF(Z$1=2,Z31,0)</f>
        <v>0</v>
      </c>
      <c r="AA36" s="364"/>
      <c r="AB36" s="364">
        <f>+SUM(F36,H36,J36,L36,N36,P36,R36,T36,V36,X36,Z36)</f>
        <v>0</v>
      </c>
      <c r="AC36" s="1"/>
      <c r="AD36" s="370"/>
    </row>
    <row r="37" spans="2:31" ht="24.95" customHeight="1">
      <c r="E37" s="381"/>
      <c r="F37" s="370"/>
      <c r="G37" s="381"/>
      <c r="H37" s="370"/>
      <c r="I37" s="370"/>
      <c r="J37" s="370"/>
      <c r="K37" s="370"/>
      <c r="L37" s="370"/>
      <c r="M37" s="370"/>
      <c r="N37" s="370"/>
      <c r="O37" s="370"/>
      <c r="P37" s="370"/>
      <c r="Q37" s="370"/>
      <c r="R37" s="370"/>
      <c r="S37" s="370"/>
      <c r="T37" s="370"/>
      <c r="U37" s="370"/>
      <c r="V37" s="370"/>
      <c r="W37" s="370"/>
      <c r="X37" s="370"/>
      <c r="Y37" s="370"/>
      <c r="Z37" s="370"/>
      <c r="AA37" s="605" t="s">
        <v>11</v>
      </c>
      <c r="AB37" s="337" t="e">
        <f>+SUM(AB33,AB35)</f>
        <v>#REF!</v>
      </c>
      <c r="AC37" s="3"/>
      <c r="AD37" s="370"/>
    </row>
    <row r="38" spans="2:31" ht="24.95" customHeight="1">
      <c r="E38" s="381"/>
      <c r="F38" s="370"/>
      <c r="G38" s="381"/>
      <c r="H38" s="370"/>
      <c r="I38" s="370"/>
      <c r="J38" s="370"/>
      <c r="K38" s="370"/>
      <c r="L38" s="370"/>
      <c r="M38" s="370"/>
      <c r="N38" s="370"/>
      <c r="O38" s="370"/>
      <c r="P38" s="370"/>
      <c r="Q38" s="370"/>
      <c r="R38" s="370"/>
      <c r="S38" s="370"/>
      <c r="T38" s="370"/>
      <c r="U38" s="370"/>
      <c r="V38" s="370"/>
      <c r="W38" s="370"/>
      <c r="X38" s="370"/>
      <c r="Y38" s="370"/>
      <c r="Z38" s="370"/>
      <c r="AA38" s="606"/>
      <c r="AB38" s="347" t="e">
        <f>+SUM(AB34,AB36)</f>
        <v>#REF!</v>
      </c>
      <c r="AC38" s="1"/>
      <c r="AD38" s="370"/>
    </row>
    <row r="39" spans="2:31" ht="30" customHeight="1"/>
    <row r="40" spans="2:31" ht="24.95" customHeight="1">
      <c r="B40" s="601" t="s">
        <v>441</v>
      </c>
      <c r="C40" s="616"/>
      <c r="D40" s="617"/>
      <c r="E40" s="375">
        <f>IF($AB40&gt;0,E26,0)</f>
        <v>0</v>
      </c>
      <c r="F40" s="337">
        <v>12697100</v>
      </c>
      <c r="G40" s="375"/>
      <c r="H40" s="337"/>
      <c r="I40" s="375"/>
      <c r="J40" s="337"/>
      <c r="K40" s="375"/>
      <c r="L40" s="337"/>
      <c r="M40" s="375"/>
      <c r="N40" s="337"/>
      <c r="O40" s="375">
        <f>IF($AB40&gt;0,O26,0)</f>
        <v>0</v>
      </c>
      <c r="P40" s="337">
        <f>+IF(P26&gt;0,ROUND($AB40*O40,-3),0)</f>
        <v>0</v>
      </c>
      <c r="Q40" s="375">
        <f>IF($AB40&gt;0,Q26,0)</f>
        <v>0</v>
      </c>
      <c r="R40" s="337">
        <f>+IF(R26&gt;0,ROUND($AB40*Q40,-3),0)</f>
        <v>0</v>
      </c>
      <c r="S40" s="375">
        <f>IF($AB40&gt;0,S26,0)</f>
        <v>0</v>
      </c>
      <c r="T40" s="337">
        <f>+IF(T26&gt;0,ROUND($AB40*S40,-3),0)</f>
        <v>0</v>
      </c>
      <c r="U40" s="375">
        <f>IF($AB40&gt;0,U26,0)</f>
        <v>0</v>
      </c>
      <c r="V40" s="337">
        <f>+IF(V26&gt;0,ROUND($AB40*U40,-3),0)</f>
        <v>0</v>
      </c>
      <c r="W40" s="375">
        <f>IF($AB40&gt;0,W26,0)</f>
        <v>0</v>
      </c>
      <c r="X40" s="337">
        <f>+IF(X26&gt;0,ROUND($AB40*W40,-3),0)</f>
        <v>0</v>
      </c>
      <c r="Y40" s="375" t="e">
        <f>IF($AB40&gt;0,Y26,0)</f>
        <v>#REF!</v>
      </c>
      <c r="Z40" s="337" t="e">
        <f>+IF(Z26&gt;0,AB40-SUM(F40,H40,J40,L40,N40,P40,R40,T40,V40,X40),0)</f>
        <v>#REF!</v>
      </c>
      <c r="AA40" s="366" t="e">
        <f>+SUM(E40,G40,I40,K40,M40,O40,Q40,S40,U40,W40,Y40)</f>
        <v>#REF!</v>
      </c>
      <c r="AB40" s="337">
        <v>14300000</v>
      </c>
      <c r="AC40" s="3"/>
      <c r="AD40" s="370" t="e">
        <f t="shared" ref="AD40:AD45" si="5">+SUM(F40,H40,J40,L40,N40,P40,R40,T40,V40,X40,Z40)</f>
        <v>#REF!</v>
      </c>
      <c r="AE40" t="e">
        <f t="shared" ref="AE40:AE45" si="6">+IF(AB40&gt;0,IF(AB40=AD40,"〇","×"),"")</f>
        <v>#REF!</v>
      </c>
    </row>
    <row r="41" spans="2:31" ht="24.95" customHeight="1">
      <c r="B41" s="618"/>
      <c r="C41" s="619"/>
      <c r="D41" s="620"/>
      <c r="E41" s="380" t="e">
        <f>+E27</f>
        <v>#REF!</v>
      </c>
      <c r="F41" s="347">
        <f>F40</f>
        <v>12697100</v>
      </c>
      <c r="G41" s="380"/>
      <c r="H41" s="347"/>
      <c r="I41" s="380"/>
      <c r="J41" s="347"/>
      <c r="K41" s="380"/>
      <c r="L41" s="347"/>
      <c r="M41" s="380"/>
      <c r="N41" s="347"/>
      <c r="O41" s="367">
        <f>+O27</f>
        <v>0</v>
      </c>
      <c r="P41" s="364">
        <f>+IF(P27&gt;0,ROUND($AB41*O41,-3),0)</f>
        <v>0</v>
      </c>
      <c r="Q41" s="367">
        <f>+Q27</f>
        <v>0</v>
      </c>
      <c r="R41" s="364">
        <f>+IF(R27&gt;0,ROUND($AB41*Q41,-3),0)</f>
        <v>0</v>
      </c>
      <c r="S41" s="367">
        <f>+S27</f>
        <v>0</v>
      </c>
      <c r="T41" s="364">
        <f>+IF(T27&gt;0,ROUND($AB41*S41,-3),0)</f>
        <v>0</v>
      </c>
      <c r="U41" s="367">
        <f>+U27</f>
        <v>0</v>
      </c>
      <c r="V41" s="364">
        <f>+IF(V27&gt;0,ROUND($AB41*U41,-3),0)</f>
        <v>0</v>
      </c>
      <c r="W41" s="380" t="e">
        <f>+W27</f>
        <v>#REF!</v>
      </c>
      <c r="X41" s="347" t="e">
        <f>AB41-F41</f>
        <v>#REF!</v>
      </c>
      <c r="Y41" s="367">
        <f>+Y27</f>
        <v>0</v>
      </c>
      <c r="Z41" s="364">
        <f>+IF(Z27&gt;0,AB41-SUM(F41,H41,J41,L41,N41,P41,R41,T41,V41,X41),0)</f>
        <v>0</v>
      </c>
      <c r="AA41" s="380" t="e">
        <f>+SUM(E41,G41,I41,K41,M41,O41,Q41,S41,U41,W41,Y41)</f>
        <v>#REF!</v>
      </c>
      <c r="AB41" s="339" t="e">
        <f>変更総括!K50</f>
        <v>#REF!</v>
      </c>
      <c r="AC41" s="1"/>
      <c r="AD41" s="370" t="e">
        <f t="shared" si="5"/>
        <v>#REF!</v>
      </c>
      <c r="AE41" t="e">
        <f t="shared" si="6"/>
        <v>#REF!</v>
      </c>
    </row>
    <row r="42" spans="2:31" ht="24.95" customHeight="1">
      <c r="B42" s="601" t="s">
        <v>439</v>
      </c>
      <c r="C42" s="621"/>
      <c r="D42" s="602"/>
      <c r="E42" s="375"/>
      <c r="F42" s="337">
        <f>+IF(F40&gt;0,F40*10%,0)</f>
        <v>1269710</v>
      </c>
      <c r="G42" s="375"/>
      <c r="H42" s="337"/>
      <c r="I42" s="337"/>
      <c r="J42" s="337"/>
      <c r="K42" s="337"/>
      <c r="L42" s="337"/>
      <c r="M42" s="337"/>
      <c r="N42" s="337"/>
      <c r="O42" s="337"/>
      <c r="P42" s="337">
        <f>+IF(P40&gt;0,P40*10%,0)</f>
        <v>0</v>
      </c>
      <c r="Q42" s="337"/>
      <c r="R42" s="337">
        <f>+IF(R40&gt;0,R40*10%,0)</f>
        <v>0</v>
      </c>
      <c r="S42" s="337"/>
      <c r="T42" s="337">
        <f>+IF(T40&gt;0,T40*10%,0)</f>
        <v>0</v>
      </c>
      <c r="U42" s="337"/>
      <c r="V42" s="337">
        <f>+IF(V40&gt;0,V40*10%,0)</f>
        <v>0</v>
      </c>
      <c r="W42" s="337"/>
      <c r="X42" s="337">
        <f>+IF(X40&gt;0,X40*10%,0)</f>
        <v>0</v>
      </c>
      <c r="Y42" s="337"/>
      <c r="Z42" s="337" t="e">
        <f>+IF(Z40&gt;0,Z40*10%,0)</f>
        <v>#REF!</v>
      </c>
      <c r="AA42" s="337"/>
      <c r="AB42" s="337">
        <f>+IF(AB40&gt;0,AB40*10%,0)</f>
        <v>1430000</v>
      </c>
      <c r="AC42" s="3"/>
      <c r="AD42" s="370" t="e">
        <f t="shared" si="5"/>
        <v>#REF!</v>
      </c>
      <c r="AE42" t="e">
        <f t="shared" si="6"/>
        <v>#REF!</v>
      </c>
    </row>
    <row r="43" spans="2:31" ht="24.95" customHeight="1">
      <c r="B43" s="603"/>
      <c r="C43" s="623"/>
      <c r="D43" s="604"/>
      <c r="E43" s="367"/>
      <c r="F43" s="347">
        <f>+IF(F41&gt;0,F41*10%,0)</f>
        <v>1269710</v>
      </c>
      <c r="G43" s="380"/>
      <c r="H43" s="347"/>
      <c r="I43" s="347"/>
      <c r="J43" s="347"/>
      <c r="K43" s="347"/>
      <c r="L43" s="347"/>
      <c r="M43" s="364"/>
      <c r="N43" s="347"/>
      <c r="O43" s="364"/>
      <c r="P43" s="364">
        <f>+IF(P41&gt;0,P41*10%,0)</f>
        <v>0</v>
      </c>
      <c r="Q43" s="364"/>
      <c r="R43" s="364">
        <f>+IF(R41&gt;0,R41*10%,0)</f>
        <v>0</v>
      </c>
      <c r="S43" s="364"/>
      <c r="T43" s="364">
        <f>+IF(T41&gt;0,T41*10%,0)</f>
        <v>0</v>
      </c>
      <c r="U43" s="364"/>
      <c r="V43" s="364">
        <f>+IF(V41&gt;0,V41*10%,0)</f>
        <v>0</v>
      </c>
      <c r="W43" s="364"/>
      <c r="X43" s="347" t="e">
        <f>+IF(X41&gt;0,X41*10%,0)</f>
        <v>#REF!</v>
      </c>
      <c r="Y43" s="364"/>
      <c r="Z43" s="364">
        <f>+IF(Z41&gt;0,Z41*10%,0)</f>
        <v>0</v>
      </c>
      <c r="AA43" s="364"/>
      <c r="AB43" s="347" t="e">
        <f>+IF(AB41&gt;0,AB41*10%,0)</f>
        <v>#REF!</v>
      </c>
      <c r="AC43" s="1"/>
      <c r="AD43" s="370" t="e">
        <f t="shared" si="5"/>
        <v>#REF!</v>
      </c>
      <c r="AE43" t="e">
        <f t="shared" si="6"/>
        <v>#REF!</v>
      </c>
    </row>
    <row r="44" spans="2:31" ht="24.95" customHeight="1">
      <c r="B44" s="601" t="s">
        <v>798</v>
      </c>
      <c r="C44" s="621"/>
      <c r="D44" s="602"/>
      <c r="E44" s="375"/>
      <c r="F44" s="337">
        <f>+SUM(F40,F42)</f>
        <v>13966810</v>
      </c>
      <c r="G44" s="375"/>
      <c r="H44" s="337"/>
      <c r="I44" s="337"/>
      <c r="J44" s="337"/>
      <c r="K44" s="337"/>
      <c r="L44" s="337"/>
      <c r="M44" s="337"/>
      <c r="N44" s="337"/>
      <c r="O44" s="337"/>
      <c r="P44" s="337">
        <f>+SUM(P40,P42)</f>
        <v>0</v>
      </c>
      <c r="Q44" s="337"/>
      <c r="R44" s="337">
        <f>+SUM(R40,R42)</f>
        <v>0</v>
      </c>
      <c r="S44" s="337"/>
      <c r="T44" s="337">
        <f>+SUM(T40,T42)</f>
        <v>0</v>
      </c>
      <c r="U44" s="337"/>
      <c r="V44" s="337">
        <f>+SUM(V40,V42)</f>
        <v>0</v>
      </c>
      <c r="W44" s="337"/>
      <c r="X44" s="337">
        <f>+SUM(X40,X42)</f>
        <v>0</v>
      </c>
      <c r="Y44" s="337"/>
      <c r="Z44" s="337" t="e">
        <f>+SUM(Z40,Z42)</f>
        <v>#REF!</v>
      </c>
      <c r="AA44" s="337"/>
      <c r="AB44" s="337">
        <f>+SUM(AB40,AB42)</f>
        <v>15730000</v>
      </c>
      <c r="AC44" s="3"/>
      <c r="AD44" s="370" t="e">
        <f t="shared" si="5"/>
        <v>#REF!</v>
      </c>
      <c r="AE44" t="e">
        <f t="shared" si="6"/>
        <v>#REF!</v>
      </c>
    </row>
    <row r="45" spans="2:31" ht="24.95" customHeight="1">
      <c r="B45" s="603"/>
      <c r="C45" s="623"/>
      <c r="D45" s="604"/>
      <c r="E45" s="367"/>
      <c r="F45" s="347">
        <f>+SUM(F41,F43)</f>
        <v>13966810</v>
      </c>
      <c r="G45" s="380"/>
      <c r="H45" s="347"/>
      <c r="I45" s="347"/>
      <c r="J45" s="347"/>
      <c r="K45" s="347"/>
      <c r="L45" s="347"/>
      <c r="M45" s="364"/>
      <c r="N45" s="347"/>
      <c r="O45" s="364"/>
      <c r="P45" s="364">
        <f>+SUM(P41,P43)</f>
        <v>0</v>
      </c>
      <c r="Q45" s="364"/>
      <c r="R45" s="364">
        <f>+SUM(R41,R43)</f>
        <v>0</v>
      </c>
      <c r="S45" s="364"/>
      <c r="T45" s="364">
        <f>+SUM(T41,T43)</f>
        <v>0</v>
      </c>
      <c r="U45" s="364"/>
      <c r="V45" s="364">
        <f>+SUM(V41,V43)</f>
        <v>0</v>
      </c>
      <c r="W45" s="364"/>
      <c r="X45" s="347" t="e">
        <f>+SUM(X41,X43)</f>
        <v>#REF!</v>
      </c>
      <c r="Y45" s="364"/>
      <c r="Z45" s="364">
        <f>+SUM(Z41,Z43)</f>
        <v>0</v>
      </c>
      <c r="AA45" s="364"/>
      <c r="AB45" s="347" t="e">
        <f>+SUM(AB41,AB43)</f>
        <v>#REF!</v>
      </c>
      <c r="AC45" s="1"/>
      <c r="AD45" s="370" t="e">
        <f t="shared" si="5"/>
        <v>#REF!</v>
      </c>
      <c r="AE45" t="e">
        <f t="shared" si="6"/>
        <v>#REF!</v>
      </c>
    </row>
    <row r="47" spans="2:31" ht="24.95" customHeight="1">
      <c r="B47" s="601" t="s">
        <v>796</v>
      </c>
      <c r="C47" s="621"/>
      <c r="D47" s="602"/>
      <c r="E47" s="375"/>
      <c r="F47" s="337">
        <f>+IF(F$1=1,F44,0)</f>
        <v>13966810</v>
      </c>
      <c r="G47" s="375"/>
      <c r="H47" s="337"/>
      <c r="I47" s="337"/>
      <c r="J47" s="337"/>
      <c r="K47" s="337"/>
      <c r="L47" s="337"/>
      <c r="M47" s="337"/>
      <c r="N47" s="337"/>
      <c r="O47" s="337"/>
      <c r="P47" s="337">
        <f>+IF(P$1=1,P44,0)</f>
        <v>0</v>
      </c>
      <c r="Q47" s="337"/>
      <c r="R47" s="337">
        <f>+IF(R$1=1,R44,0)</f>
        <v>0</v>
      </c>
      <c r="S47" s="337"/>
      <c r="T47" s="337">
        <f>+IF(T$1=1,T44,0)</f>
        <v>0</v>
      </c>
      <c r="U47" s="337"/>
      <c r="V47" s="337">
        <f>+IF(V$1=1,V44,0)</f>
        <v>0</v>
      </c>
      <c r="W47" s="337"/>
      <c r="X47" s="337"/>
      <c r="Y47" s="337"/>
      <c r="Z47" s="337">
        <f>+IF(Z$1=1,Z44,0)</f>
        <v>0</v>
      </c>
      <c r="AA47" s="337"/>
      <c r="AB47" s="337">
        <f>+SUM(F47,H47,J47,L47,N47,P47,R47,T47,V47,X47,Z47)</f>
        <v>13966810</v>
      </c>
      <c r="AC47" s="3"/>
    </row>
    <row r="48" spans="2:31" ht="24.95" customHeight="1">
      <c r="B48" s="603"/>
      <c r="C48" s="623"/>
      <c r="D48" s="604"/>
      <c r="E48" s="367"/>
      <c r="F48" s="347">
        <f>+IF(F$1=1,F45,0)</f>
        <v>13966810</v>
      </c>
      <c r="G48" s="380"/>
      <c r="H48" s="347"/>
      <c r="I48" s="347"/>
      <c r="J48" s="347"/>
      <c r="K48" s="347"/>
      <c r="L48" s="347"/>
      <c r="M48" s="364"/>
      <c r="N48" s="364"/>
      <c r="O48" s="364"/>
      <c r="P48" s="364">
        <f>+IF(P$1=1,P45,0)</f>
        <v>0</v>
      </c>
      <c r="Q48" s="364"/>
      <c r="R48" s="364">
        <f>+IF(R$1=1,R45,0)</f>
        <v>0</v>
      </c>
      <c r="S48" s="364"/>
      <c r="T48" s="364">
        <f>+IF(T$1=1,T45,0)</f>
        <v>0</v>
      </c>
      <c r="U48" s="364"/>
      <c r="V48" s="364">
        <f>+IF(V$1=1,V45,0)</f>
        <v>0</v>
      </c>
      <c r="W48" s="364"/>
      <c r="X48" s="347"/>
      <c r="Y48" s="364"/>
      <c r="Z48" s="364">
        <f>+IF(Z$1=1,Z45,0)</f>
        <v>0</v>
      </c>
      <c r="AA48" s="364"/>
      <c r="AB48" s="347">
        <f>+SUM(F48,H48,J48,L48,N48,P48,R48,T48,V48,X48,Z48)</f>
        <v>13966810</v>
      </c>
      <c r="AC48" s="1"/>
    </row>
    <row r="49" spans="2:29" ht="24.95" customHeight="1">
      <c r="B49" s="601" t="s">
        <v>797</v>
      </c>
      <c r="C49" s="621"/>
      <c r="D49" s="602"/>
      <c r="E49" s="375"/>
      <c r="F49" s="337">
        <f>+IF(F$1=2,F44,0)</f>
        <v>0</v>
      </c>
      <c r="G49" s="375"/>
      <c r="H49" s="337"/>
      <c r="I49" s="337"/>
      <c r="J49" s="337"/>
      <c r="K49" s="337"/>
      <c r="L49" s="337"/>
      <c r="M49" s="337"/>
      <c r="N49" s="337"/>
      <c r="O49" s="337"/>
      <c r="P49" s="337">
        <f>+IF(P$1=2,P44,0)</f>
        <v>0</v>
      </c>
      <c r="Q49" s="337"/>
      <c r="R49" s="337">
        <f>+IF(R$1=2,R44,0)</f>
        <v>0</v>
      </c>
      <c r="S49" s="337"/>
      <c r="T49" s="337">
        <f>+IF(T$1=2,T44,0)</f>
        <v>0</v>
      </c>
      <c r="U49" s="337"/>
      <c r="V49" s="337">
        <f>+IF(V$1=2,V44,0)</f>
        <v>0</v>
      </c>
      <c r="W49" s="337"/>
      <c r="X49" s="337">
        <f>+IF(X$1=1,X44,0)</f>
        <v>0</v>
      </c>
      <c r="Y49" s="337"/>
      <c r="Z49" s="337">
        <f>+IF(Z$1=2,Z44,0)</f>
        <v>0</v>
      </c>
      <c r="AA49" s="337"/>
      <c r="AB49" s="337">
        <f>+SUM(F49,H49,J49,L49,N49,P49,R49,T49,V49,X49,Z49)</f>
        <v>0</v>
      </c>
      <c r="AC49" s="3"/>
    </row>
    <row r="50" spans="2:29" ht="24.95" customHeight="1">
      <c r="B50" s="603"/>
      <c r="C50" s="623"/>
      <c r="D50" s="604"/>
      <c r="E50" s="367"/>
      <c r="F50" s="364">
        <f>+IF(F$1=2,F45,0)</f>
        <v>0</v>
      </c>
      <c r="G50" s="367"/>
      <c r="H50" s="364"/>
      <c r="I50" s="364"/>
      <c r="J50" s="364"/>
      <c r="K50" s="364"/>
      <c r="L50" s="347"/>
      <c r="M50" s="364"/>
      <c r="N50" s="347"/>
      <c r="O50" s="364"/>
      <c r="P50" s="364">
        <f>+IF(P$1=2,P45,0)</f>
        <v>0</v>
      </c>
      <c r="Q50" s="364"/>
      <c r="R50" s="364">
        <f>+IF(R$1=2,R45,0)</f>
        <v>0</v>
      </c>
      <c r="S50" s="364"/>
      <c r="T50" s="364">
        <f>+IF(T$1=2,T45,0)</f>
        <v>0</v>
      </c>
      <c r="U50" s="364"/>
      <c r="V50" s="364">
        <f>+IF(V$1=2,V45,0)</f>
        <v>0</v>
      </c>
      <c r="W50" s="364"/>
      <c r="X50" s="347" t="e">
        <f>X45</f>
        <v>#REF!</v>
      </c>
      <c r="Y50" s="364"/>
      <c r="Z50" s="364">
        <f>+IF(Z$1=2,Z45,0)</f>
        <v>0</v>
      </c>
      <c r="AA50" s="364"/>
      <c r="AB50" s="347" t="e">
        <f>+SUM(F50,H50,J50,L50,N50,P50,R50,T50,V50,X50,Z50)</f>
        <v>#REF!</v>
      </c>
      <c r="AC50" s="1"/>
    </row>
    <row r="51" spans="2:29" ht="24.95" customHeight="1">
      <c r="AA51" s="605" t="s">
        <v>11</v>
      </c>
      <c r="AB51" s="337">
        <f>+SUM(AB47,AB49)</f>
        <v>13966810</v>
      </c>
      <c r="AC51" s="3"/>
    </row>
    <row r="52" spans="2:29" ht="24.95" customHeight="1">
      <c r="AA52" s="606"/>
      <c r="AB52" s="347" t="e">
        <f>+SUM(AB48,AB50)</f>
        <v>#REF!</v>
      </c>
      <c r="AC52" s="1"/>
    </row>
    <row r="54" spans="2:29" ht="25.5">
      <c r="D54" s="639" t="s">
        <v>792</v>
      </c>
      <c r="E54" s="639"/>
      <c r="F54" s="639"/>
      <c r="G54" s="639"/>
      <c r="H54" s="639"/>
      <c r="I54" s="639"/>
      <c r="J54" s="639"/>
      <c r="K54" s="639"/>
      <c r="L54" s="639"/>
      <c r="M54" s="639"/>
      <c r="N54" s="639"/>
      <c r="O54" s="639"/>
      <c r="P54" s="639"/>
      <c r="Q54" s="639"/>
      <c r="R54" s="639"/>
      <c r="S54" s="639"/>
      <c r="T54" s="639"/>
      <c r="U54" s="639"/>
      <c r="V54" s="639"/>
      <c r="W54" s="639"/>
      <c r="X54" s="639"/>
      <c r="Y54" s="639"/>
      <c r="Z54" s="639"/>
      <c r="AA54" s="639"/>
      <c r="AC54" s="351" t="s">
        <v>112</v>
      </c>
    </row>
    <row r="55" spans="2:29" ht="18.75" customHeight="1">
      <c r="B55" s="640"/>
      <c r="C55" s="641"/>
      <c r="D55" s="642"/>
      <c r="E55" s="626" t="s">
        <v>815</v>
      </c>
      <c r="F55" s="627"/>
      <c r="G55" s="626" t="s">
        <v>816</v>
      </c>
      <c r="H55" s="627"/>
      <c r="I55" s="626" t="s">
        <v>817</v>
      </c>
      <c r="J55" s="627"/>
      <c r="K55" s="626" t="s">
        <v>818</v>
      </c>
      <c r="L55" s="627"/>
      <c r="M55" s="626" t="s">
        <v>817</v>
      </c>
      <c r="N55" s="627"/>
      <c r="O55" s="626"/>
      <c r="P55" s="627"/>
      <c r="Q55" s="626"/>
      <c r="R55" s="627"/>
      <c r="S55" s="626"/>
      <c r="T55" s="627"/>
      <c r="U55" s="626"/>
      <c r="V55" s="627"/>
      <c r="W55" s="626" t="s">
        <v>815</v>
      </c>
      <c r="X55" s="627"/>
      <c r="Y55" s="626"/>
      <c r="Z55" s="627"/>
      <c r="AA55" s="630" t="s">
        <v>11</v>
      </c>
      <c r="AB55" s="631"/>
      <c r="AC55" s="636" t="s">
        <v>437</v>
      </c>
    </row>
    <row r="56" spans="2:29">
      <c r="B56" s="643"/>
      <c r="C56" s="644"/>
      <c r="D56" s="645"/>
      <c r="E56" s="628"/>
      <c r="F56" s="629"/>
      <c r="G56" s="628"/>
      <c r="H56" s="629"/>
      <c r="I56" s="628"/>
      <c r="J56" s="629"/>
      <c r="K56" s="628"/>
      <c r="L56" s="629"/>
      <c r="M56" s="628"/>
      <c r="N56" s="629"/>
      <c r="O56" s="628"/>
      <c r="P56" s="629"/>
      <c r="Q56" s="628"/>
      <c r="R56" s="629"/>
      <c r="S56" s="628"/>
      <c r="T56" s="629"/>
      <c r="U56" s="628"/>
      <c r="V56" s="629"/>
      <c r="W56" s="628"/>
      <c r="X56" s="629"/>
      <c r="Y56" s="628"/>
      <c r="Z56" s="629"/>
      <c r="AA56" s="632"/>
      <c r="AB56" s="633"/>
      <c r="AC56" s="637"/>
    </row>
    <row r="57" spans="2:29">
      <c r="B57" s="643"/>
      <c r="C57" s="644"/>
      <c r="D57" s="645"/>
      <c r="E57" s="352" t="s">
        <v>793</v>
      </c>
      <c r="F57" s="353" t="s">
        <v>794</v>
      </c>
      <c r="G57" s="354" t="s">
        <v>793</v>
      </c>
      <c r="H57" s="353" t="s">
        <v>794</v>
      </c>
      <c r="I57" s="354" t="s">
        <v>793</v>
      </c>
      <c r="J57" s="353" t="s">
        <v>794</v>
      </c>
      <c r="K57" s="354" t="s">
        <v>793</v>
      </c>
      <c r="L57" s="353" t="s">
        <v>794</v>
      </c>
      <c r="M57" s="354" t="s">
        <v>793</v>
      </c>
      <c r="N57" s="353" t="s">
        <v>794</v>
      </c>
      <c r="O57" s="352" t="str">
        <f t="shared" ref="O57:Z57" si="7">+O5</f>
        <v>(割合)</v>
      </c>
      <c r="P57" s="353" t="str">
        <f t="shared" si="7"/>
        <v>工事価格按分</v>
      </c>
      <c r="Q57" s="352" t="str">
        <f t="shared" si="7"/>
        <v>(割合)</v>
      </c>
      <c r="R57" s="353" t="str">
        <f t="shared" si="7"/>
        <v>工事価格按分</v>
      </c>
      <c r="S57" s="352" t="str">
        <f t="shared" si="7"/>
        <v>(割合)</v>
      </c>
      <c r="T57" s="353" t="str">
        <f t="shared" si="7"/>
        <v>工事価格按分</v>
      </c>
      <c r="U57" s="352" t="str">
        <f t="shared" si="7"/>
        <v>(割合)</v>
      </c>
      <c r="V57" s="353" t="str">
        <f t="shared" si="7"/>
        <v>工事価格按分</v>
      </c>
      <c r="W57" s="352" t="str">
        <f t="shared" si="7"/>
        <v>(割合)</v>
      </c>
      <c r="X57" s="353" t="str">
        <f t="shared" si="7"/>
        <v>工事価格按分</v>
      </c>
      <c r="Y57" s="352">
        <f t="shared" si="7"/>
        <v>0</v>
      </c>
      <c r="Z57" s="353">
        <f t="shared" si="7"/>
        <v>0</v>
      </c>
      <c r="AA57" s="632"/>
      <c r="AB57" s="633"/>
      <c r="AC57" s="637"/>
    </row>
    <row r="58" spans="2:29">
      <c r="B58" s="646"/>
      <c r="C58" s="647"/>
      <c r="D58" s="648"/>
      <c r="E58" s="538" t="str">
        <f>+E6</f>
        <v>補助対象</v>
      </c>
      <c r="F58" s="538"/>
      <c r="G58" s="538">
        <f>+G6</f>
        <v>0</v>
      </c>
      <c r="H58" s="538"/>
      <c r="I58" s="538">
        <f>+I6</f>
        <v>0</v>
      </c>
      <c r="J58" s="538"/>
      <c r="K58" s="538">
        <f>+K6</f>
        <v>0</v>
      </c>
      <c r="L58" s="538"/>
      <c r="M58" s="538">
        <f>+M6</f>
        <v>0</v>
      </c>
      <c r="N58" s="538"/>
      <c r="O58" s="538" t="str">
        <f>+O6</f>
        <v/>
      </c>
      <c r="P58" s="538"/>
      <c r="Q58" s="538" t="str">
        <f>+Q6</f>
        <v/>
      </c>
      <c r="R58" s="538"/>
      <c r="S58" s="538" t="str">
        <f>+S6</f>
        <v/>
      </c>
      <c r="T58" s="538"/>
      <c r="U58" s="538" t="str">
        <f>+U6</f>
        <v/>
      </c>
      <c r="V58" s="538"/>
      <c r="W58" s="538" t="str">
        <f>+W6</f>
        <v>単独対象</v>
      </c>
      <c r="X58" s="538"/>
      <c r="Y58" s="538">
        <f>+Y6</f>
        <v>0</v>
      </c>
      <c r="Z58" s="538"/>
      <c r="AA58" s="634"/>
      <c r="AB58" s="635"/>
      <c r="AC58" s="638"/>
    </row>
    <row r="60" spans="2:29">
      <c r="B60" s="601" t="s">
        <v>441</v>
      </c>
      <c r="C60" s="616"/>
      <c r="D60" s="617"/>
      <c r="E60" s="375">
        <f>+E26</f>
        <v>0</v>
      </c>
      <c r="F60" s="337">
        <f t="shared" ref="F60:F65" si="8">+F40</f>
        <v>12697100</v>
      </c>
      <c r="G60" s="375">
        <f>+G26</f>
        <v>0</v>
      </c>
      <c r="H60" s="337">
        <f t="shared" ref="H60:H65" si="9">+H40</f>
        <v>0</v>
      </c>
      <c r="I60" s="375">
        <f>+I26</f>
        <v>0</v>
      </c>
      <c r="J60" s="337">
        <f t="shared" ref="J60:J65" si="10">+J40</f>
        <v>0</v>
      </c>
      <c r="K60" s="375">
        <f>+K26</f>
        <v>0</v>
      </c>
      <c r="L60" s="337">
        <f t="shared" ref="L60:L65" si="11">+L40</f>
        <v>0</v>
      </c>
      <c r="M60" s="375">
        <f>+M26</f>
        <v>0</v>
      </c>
      <c r="N60" s="337">
        <f t="shared" ref="N60:N65" si="12">+N40</f>
        <v>0</v>
      </c>
      <c r="O60" s="375">
        <f>+O26</f>
        <v>0</v>
      </c>
      <c r="P60" s="337">
        <f t="shared" ref="P60:P65" si="13">+P40</f>
        <v>0</v>
      </c>
      <c r="Q60" s="375">
        <f>+Q26</f>
        <v>0</v>
      </c>
      <c r="R60" s="337">
        <f t="shared" ref="R60:R65" si="14">+R40</f>
        <v>0</v>
      </c>
      <c r="S60" s="375">
        <f>+S26</f>
        <v>0</v>
      </c>
      <c r="T60" s="337">
        <f t="shared" ref="T60:T65" si="15">+T40</f>
        <v>0</v>
      </c>
      <c r="U60" s="375">
        <f>+U26</f>
        <v>0</v>
      </c>
      <c r="V60" s="337">
        <f t="shared" ref="V60:V65" si="16">+V40</f>
        <v>0</v>
      </c>
      <c r="W60" s="375">
        <f>+W26</f>
        <v>0</v>
      </c>
      <c r="X60" s="337">
        <f t="shared" ref="X60:X65" si="17">+X40</f>
        <v>0</v>
      </c>
      <c r="Y60" s="375" t="e">
        <f>+Y26</f>
        <v>#REF!</v>
      </c>
      <c r="Z60" s="337" t="e">
        <f t="shared" ref="Z60:Z65" si="18">+Z40</f>
        <v>#REF!</v>
      </c>
      <c r="AA60" s="366"/>
      <c r="AB60" s="337" t="e">
        <f>+SUM(F60,H60,J60,L60,N60,P60,R60,T60,V60,X60,Z60)</f>
        <v>#REF!</v>
      </c>
      <c r="AC60" s="3"/>
    </row>
    <row r="61" spans="2:29">
      <c r="B61" s="618"/>
      <c r="C61" s="619"/>
      <c r="D61" s="620"/>
      <c r="E61" s="380" t="e">
        <f>+E27</f>
        <v>#REF!</v>
      </c>
      <c r="F61" s="339">
        <f t="shared" si="8"/>
        <v>12697100</v>
      </c>
      <c r="G61" s="380">
        <f>+G27</f>
        <v>0</v>
      </c>
      <c r="H61" s="339">
        <f t="shared" si="9"/>
        <v>0</v>
      </c>
      <c r="I61" s="380">
        <f>+I27</f>
        <v>0</v>
      </c>
      <c r="J61" s="339">
        <f t="shared" si="10"/>
        <v>0</v>
      </c>
      <c r="K61" s="380">
        <f>+K27</f>
        <v>0</v>
      </c>
      <c r="L61" s="339">
        <f t="shared" si="11"/>
        <v>0</v>
      </c>
      <c r="M61" s="380">
        <f>+M27</f>
        <v>0</v>
      </c>
      <c r="N61" s="339">
        <f t="shared" si="12"/>
        <v>0</v>
      </c>
      <c r="O61" s="380">
        <f>+O27</f>
        <v>0</v>
      </c>
      <c r="P61" s="339">
        <f t="shared" si="13"/>
        <v>0</v>
      </c>
      <c r="Q61" s="380">
        <f>+Q27</f>
        <v>0</v>
      </c>
      <c r="R61" s="339">
        <f t="shared" si="14"/>
        <v>0</v>
      </c>
      <c r="S61" s="380">
        <f>+S27</f>
        <v>0</v>
      </c>
      <c r="T61" s="339">
        <f t="shared" si="15"/>
        <v>0</v>
      </c>
      <c r="U61" s="380">
        <f>+U27</f>
        <v>0</v>
      </c>
      <c r="V61" s="339">
        <f t="shared" si="16"/>
        <v>0</v>
      </c>
      <c r="W61" s="380" t="e">
        <f>+W27</f>
        <v>#REF!</v>
      </c>
      <c r="X61" s="339" t="e">
        <f t="shared" si="17"/>
        <v>#REF!</v>
      </c>
      <c r="Y61" s="380">
        <f>+Y27</f>
        <v>0</v>
      </c>
      <c r="Z61" s="339">
        <f t="shared" si="18"/>
        <v>0</v>
      </c>
      <c r="AA61" s="380"/>
      <c r="AB61" s="347" t="e">
        <f>+SUM(F61,H61,J61,L61,N61,P61,R61,T61,V61,X61,Z61)</f>
        <v>#REF!</v>
      </c>
      <c r="AC61" s="382"/>
    </row>
    <row r="62" spans="2:29">
      <c r="B62" s="601" t="s">
        <v>439</v>
      </c>
      <c r="C62" s="621"/>
      <c r="D62" s="602"/>
      <c r="E62" s="375"/>
      <c r="F62" s="337">
        <f t="shared" si="8"/>
        <v>1269710</v>
      </c>
      <c r="G62" s="375"/>
      <c r="H62" s="337">
        <f t="shared" si="9"/>
        <v>0</v>
      </c>
      <c r="I62" s="337"/>
      <c r="J62" s="337">
        <f t="shared" si="10"/>
        <v>0</v>
      </c>
      <c r="K62" s="337"/>
      <c r="L62" s="337">
        <f t="shared" si="11"/>
        <v>0</v>
      </c>
      <c r="M62" s="337"/>
      <c r="N62" s="337">
        <f t="shared" si="12"/>
        <v>0</v>
      </c>
      <c r="O62" s="337"/>
      <c r="P62" s="337">
        <f t="shared" si="13"/>
        <v>0</v>
      </c>
      <c r="Q62" s="337"/>
      <c r="R62" s="337">
        <f t="shared" si="14"/>
        <v>0</v>
      </c>
      <c r="S62" s="337"/>
      <c r="T62" s="337">
        <f t="shared" si="15"/>
        <v>0</v>
      </c>
      <c r="U62" s="337"/>
      <c r="V62" s="337">
        <f t="shared" si="16"/>
        <v>0</v>
      </c>
      <c r="W62" s="337"/>
      <c r="X62" s="337">
        <f t="shared" si="17"/>
        <v>0</v>
      </c>
      <c r="Y62" s="337"/>
      <c r="Z62" s="337" t="e">
        <f t="shared" si="18"/>
        <v>#REF!</v>
      </c>
      <c r="AA62" s="337"/>
      <c r="AB62" s="337" t="e">
        <f t="shared" ref="AB62:AB69" si="19">+SUM(F62,H62,J62,L62,N62,P62,R62,T62,V62,X62,Z62)</f>
        <v>#REF!</v>
      </c>
      <c r="AC62" s="3"/>
    </row>
    <row r="63" spans="2:29">
      <c r="B63" s="603"/>
      <c r="C63" s="623"/>
      <c r="D63" s="604"/>
      <c r="E63" s="380"/>
      <c r="F63" s="347">
        <f t="shared" si="8"/>
        <v>1269710</v>
      </c>
      <c r="G63" s="380"/>
      <c r="H63" s="347">
        <f t="shared" si="9"/>
        <v>0</v>
      </c>
      <c r="I63" s="347"/>
      <c r="J63" s="347">
        <f t="shared" si="10"/>
        <v>0</v>
      </c>
      <c r="K63" s="347"/>
      <c r="L63" s="347">
        <f t="shared" si="11"/>
        <v>0</v>
      </c>
      <c r="M63" s="347"/>
      <c r="N63" s="347">
        <f t="shared" si="12"/>
        <v>0</v>
      </c>
      <c r="O63" s="347"/>
      <c r="P63" s="347">
        <f t="shared" si="13"/>
        <v>0</v>
      </c>
      <c r="Q63" s="347"/>
      <c r="R63" s="347">
        <f t="shared" si="14"/>
        <v>0</v>
      </c>
      <c r="S63" s="347"/>
      <c r="T63" s="347">
        <f t="shared" si="15"/>
        <v>0</v>
      </c>
      <c r="U63" s="347"/>
      <c r="V63" s="347">
        <f t="shared" si="16"/>
        <v>0</v>
      </c>
      <c r="W63" s="347"/>
      <c r="X63" s="347" t="e">
        <f t="shared" si="17"/>
        <v>#REF!</v>
      </c>
      <c r="Y63" s="347"/>
      <c r="Z63" s="347">
        <f t="shared" si="18"/>
        <v>0</v>
      </c>
      <c r="AA63" s="347"/>
      <c r="AB63" s="383" t="e">
        <f t="shared" si="19"/>
        <v>#REF!</v>
      </c>
      <c r="AC63" s="382"/>
    </row>
    <row r="64" spans="2:29">
      <c r="B64" s="601" t="s">
        <v>798</v>
      </c>
      <c r="C64" s="621"/>
      <c r="D64" s="602"/>
      <c r="E64" s="375"/>
      <c r="F64" s="337">
        <f t="shared" si="8"/>
        <v>13966810</v>
      </c>
      <c r="G64" s="375"/>
      <c r="H64" s="337">
        <f t="shared" si="9"/>
        <v>0</v>
      </c>
      <c r="I64" s="375"/>
      <c r="J64" s="337">
        <f t="shared" si="10"/>
        <v>0</v>
      </c>
      <c r="K64" s="375"/>
      <c r="L64" s="337">
        <f t="shared" si="11"/>
        <v>0</v>
      </c>
      <c r="M64" s="375"/>
      <c r="N64" s="337">
        <f t="shared" si="12"/>
        <v>0</v>
      </c>
      <c r="O64" s="375"/>
      <c r="P64" s="337">
        <f t="shared" si="13"/>
        <v>0</v>
      </c>
      <c r="Q64" s="375"/>
      <c r="R64" s="337">
        <f t="shared" si="14"/>
        <v>0</v>
      </c>
      <c r="S64" s="375"/>
      <c r="T64" s="337">
        <f t="shared" si="15"/>
        <v>0</v>
      </c>
      <c r="U64" s="375"/>
      <c r="V64" s="337">
        <f t="shared" si="16"/>
        <v>0</v>
      </c>
      <c r="W64" s="375"/>
      <c r="X64" s="337">
        <f t="shared" si="17"/>
        <v>0</v>
      </c>
      <c r="Y64" s="375"/>
      <c r="Z64" s="337" t="e">
        <f t="shared" si="18"/>
        <v>#REF!</v>
      </c>
      <c r="AA64" s="624"/>
      <c r="AB64" s="337" t="e">
        <f t="shared" si="19"/>
        <v>#REF!</v>
      </c>
      <c r="AC64" s="384"/>
    </row>
    <row r="65" spans="2:29">
      <c r="B65" s="622"/>
      <c r="C65" s="623"/>
      <c r="D65" s="604"/>
      <c r="E65" s="380"/>
      <c r="F65" s="347">
        <f t="shared" si="8"/>
        <v>13966810</v>
      </c>
      <c r="G65" s="380"/>
      <c r="H65" s="347">
        <f t="shared" si="9"/>
        <v>0</v>
      </c>
      <c r="I65" s="380"/>
      <c r="J65" s="347">
        <f t="shared" si="10"/>
        <v>0</v>
      </c>
      <c r="K65" s="380"/>
      <c r="L65" s="347">
        <f t="shared" si="11"/>
        <v>0</v>
      </c>
      <c r="M65" s="380"/>
      <c r="N65" s="347">
        <f t="shared" si="12"/>
        <v>0</v>
      </c>
      <c r="O65" s="380"/>
      <c r="P65" s="347">
        <f t="shared" si="13"/>
        <v>0</v>
      </c>
      <c r="Q65" s="380"/>
      <c r="R65" s="347">
        <f t="shared" si="14"/>
        <v>0</v>
      </c>
      <c r="S65" s="380"/>
      <c r="T65" s="347">
        <f t="shared" si="15"/>
        <v>0</v>
      </c>
      <c r="U65" s="380"/>
      <c r="V65" s="347">
        <f t="shared" si="16"/>
        <v>0</v>
      </c>
      <c r="W65" s="380"/>
      <c r="X65" s="347" t="e">
        <f t="shared" si="17"/>
        <v>#REF!</v>
      </c>
      <c r="Y65" s="380"/>
      <c r="Z65" s="347">
        <f t="shared" si="18"/>
        <v>0</v>
      </c>
      <c r="AA65" s="615"/>
      <c r="AB65" s="347" t="e">
        <f t="shared" si="19"/>
        <v>#REF!</v>
      </c>
      <c r="AC65" s="385"/>
    </row>
    <row r="66" spans="2:29">
      <c r="B66" s="130"/>
      <c r="C66" s="601" t="s">
        <v>796</v>
      </c>
      <c r="D66" s="602"/>
      <c r="E66" s="375"/>
      <c r="F66" s="337">
        <f>+IF(F$1=1,F64,0)</f>
        <v>13966810</v>
      </c>
      <c r="G66" s="375"/>
      <c r="H66" s="337">
        <f>+IF(H$1=1,H64,0)</f>
        <v>0</v>
      </c>
      <c r="I66" s="337"/>
      <c r="J66" s="337">
        <f>+IF(J$1=1,J64,0)</f>
        <v>0</v>
      </c>
      <c r="K66" s="337"/>
      <c r="L66" s="337">
        <f>+IF(L$1=1,L64,0)</f>
        <v>0</v>
      </c>
      <c r="M66" s="337"/>
      <c r="N66" s="337">
        <f>+IF(N$1=1,N64,0)</f>
        <v>0</v>
      </c>
      <c r="O66" s="337"/>
      <c r="P66" s="337">
        <f>+IF(P$1=1,P64,0)</f>
        <v>0</v>
      </c>
      <c r="Q66" s="337"/>
      <c r="R66" s="337">
        <f>+IF(R$1=1,R64,0)</f>
        <v>0</v>
      </c>
      <c r="S66" s="337"/>
      <c r="T66" s="337">
        <f>+IF(T$1=1,T64,0)</f>
        <v>0</v>
      </c>
      <c r="U66" s="337"/>
      <c r="V66" s="337">
        <f>+IF(V$1=1,V64,0)</f>
        <v>0</v>
      </c>
      <c r="W66" s="337"/>
      <c r="X66" s="337">
        <f>+IF(X$1=1,X64,0)</f>
        <v>0</v>
      </c>
      <c r="Y66" s="337"/>
      <c r="Z66" s="337">
        <f>+IF(Z$1=1,Z64,0)</f>
        <v>0</v>
      </c>
      <c r="AA66" s="337"/>
      <c r="AB66" s="386">
        <f>+SUM(F66,H66,J66,L66,N66,P66,R66,T66,V66,X66,Z66)</f>
        <v>13966810</v>
      </c>
      <c r="AC66" s="3"/>
    </row>
    <row r="67" spans="2:29">
      <c r="B67" s="119"/>
      <c r="C67" s="603"/>
      <c r="D67" s="604"/>
      <c r="E67" s="380"/>
      <c r="F67" s="347">
        <f>+IF(F$1=1,F65,0)</f>
        <v>13966810</v>
      </c>
      <c r="G67" s="380"/>
      <c r="H67" s="347">
        <f>+IF(H$1=1,H65,0)</f>
        <v>0</v>
      </c>
      <c r="I67" s="347"/>
      <c r="J67" s="347">
        <f>+IF(J$1=1,J65,0)</f>
        <v>0</v>
      </c>
      <c r="K67" s="347"/>
      <c r="L67" s="347">
        <f>L65-L69</f>
        <v>0</v>
      </c>
      <c r="M67" s="347"/>
      <c r="N67" s="347">
        <f>+IF(N$1=1,N65,0)</f>
        <v>0</v>
      </c>
      <c r="O67" s="347"/>
      <c r="P67" s="347">
        <f>+IF(P$1=1,P65,0)</f>
        <v>0</v>
      </c>
      <c r="Q67" s="347"/>
      <c r="R67" s="347">
        <f>+IF(R$1=1,R65,0)</f>
        <v>0</v>
      </c>
      <c r="S67" s="347"/>
      <c r="T67" s="347">
        <f>+IF(T$1=1,T65,0)</f>
        <v>0</v>
      </c>
      <c r="U67" s="347"/>
      <c r="V67" s="347">
        <f>+IF(V$1=1,V65,0)</f>
        <v>0</v>
      </c>
      <c r="W67" s="347"/>
      <c r="X67" s="347" t="e">
        <f>+IF(X$1=1,X65,0)</f>
        <v>#REF!</v>
      </c>
      <c r="Y67" s="347"/>
      <c r="Z67" s="347">
        <f>+IF(Z$1=1,Z65,0)</f>
        <v>0</v>
      </c>
      <c r="AA67" s="347"/>
      <c r="AB67" s="347" t="e">
        <f t="shared" si="19"/>
        <v>#REF!</v>
      </c>
      <c r="AC67" s="387"/>
    </row>
    <row r="68" spans="2:29">
      <c r="B68" s="119"/>
      <c r="C68" s="601" t="s">
        <v>797</v>
      </c>
      <c r="D68" s="602"/>
      <c r="E68" s="375"/>
      <c r="F68" s="337">
        <f>+IF(F$1=2,F64,0)</f>
        <v>0</v>
      </c>
      <c r="G68" s="375"/>
      <c r="H68" s="337">
        <f>+IF(H$1=2,H64,0)</f>
        <v>0</v>
      </c>
      <c r="I68" s="337"/>
      <c r="J68" s="337">
        <f>+IF(J$1=2,J64,0)</f>
        <v>0</v>
      </c>
      <c r="K68" s="337"/>
      <c r="L68" s="337">
        <f>+IF(L$1=2,L64,0)</f>
        <v>0</v>
      </c>
      <c r="M68" s="337"/>
      <c r="N68" s="337">
        <f>+IF(N$1=2,N64,0)</f>
        <v>0</v>
      </c>
      <c r="O68" s="337"/>
      <c r="P68" s="337">
        <f>+IF(P$1=2,P64,0)</f>
        <v>0</v>
      </c>
      <c r="Q68" s="337"/>
      <c r="R68" s="337">
        <f>+IF(R$1=2,R64,0)</f>
        <v>0</v>
      </c>
      <c r="S68" s="337"/>
      <c r="T68" s="337">
        <f>+IF(T$1=2,T64,0)</f>
        <v>0</v>
      </c>
      <c r="U68" s="337"/>
      <c r="V68" s="337">
        <f>+IF(V$1=2,V64,0)</f>
        <v>0</v>
      </c>
      <c r="W68" s="337"/>
      <c r="X68" s="337">
        <f>+IF(X$1=2,X64,0)</f>
        <v>0</v>
      </c>
      <c r="Y68" s="337"/>
      <c r="Z68" s="337">
        <f>+IF(Z$1=2,Z64,0)</f>
        <v>0</v>
      </c>
      <c r="AA68" s="337"/>
      <c r="AB68" s="337">
        <f t="shared" si="19"/>
        <v>0</v>
      </c>
      <c r="AC68" s="3"/>
    </row>
    <row r="69" spans="2:29">
      <c r="B69" s="19"/>
      <c r="C69" s="603"/>
      <c r="D69" s="604"/>
      <c r="E69" s="380"/>
      <c r="F69" s="347">
        <f>+IF(F$1=2,F65,0)</f>
        <v>0</v>
      </c>
      <c r="G69" s="380"/>
      <c r="H69" s="347">
        <f>+IF(H$1=2,H65,0)</f>
        <v>0</v>
      </c>
      <c r="I69" s="347"/>
      <c r="J69" s="347">
        <f>+IF(J$1=2,J65,0)</f>
        <v>0</v>
      </c>
      <c r="K69" s="347"/>
      <c r="L69" s="347"/>
      <c r="M69" s="347"/>
      <c r="N69" s="347">
        <f>+IF(N$1=2,N65,0)</f>
        <v>0</v>
      </c>
      <c r="O69" s="347"/>
      <c r="P69" s="347">
        <f>+IF(P$1=2,P65,0)</f>
        <v>0</v>
      </c>
      <c r="Q69" s="347"/>
      <c r="R69" s="347">
        <f>+IF(R$1=2,R65,0)</f>
        <v>0</v>
      </c>
      <c r="S69" s="347"/>
      <c r="T69" s="347">
        <f>+IF(T$1=2,T65,0)</f>
        <v>0</v>
      </c>
      <c r="U69" s="347"/>
      <c r="V69" s="347">
        <f>+IF(V$1=2,V65,0)</f>
        <v>0</v>
      </c>
      <c r="W69" s="347"/>
      <c r="X69" s="347">
        <f>+IF(X$1=2,X65,0)</f>
        <v>0</v>
      </c>
      <c r="Y69" s="347"/>
      <c r="Z69" s="347">
        <f>+IF(Z$1=2,Z65,0)</f>
        <v>0</v>
      </c>
      <c r="AA69" s="347"/>
      <c r="AB69" s="347">
        <f t="shared" si="19"/>
        <v>0</v>
      </c>
      <c r="AC69" s="382"/>
    </row>
    <row r="70" spans="2:29">
      <c r="F70" s="36"/>
      <c r="H70" s="36"/>
      <c r="J70" s="36"/>
      <c r="L70" s="36"/>
      <c r="N70" s="36"/>
      <c r="P70" s="36"/>
      <c r="AA70" s="605" t="s">
        <v>11</v>
      </c>
      <c r="AB70" s="337">
        <f>+SUM(AB66,AB68)</f>
        <v>13966810</v>
      </c>
      <c r="AC70" s="3"/>
    </row>
    <row r="71" spans="2:29">
      <c r="AA71" s="606"/>
      <c r="AB71" s="347" t="e">
        <f>+SUM(AB67,AB69)</f>
        <v>#REF!</v>
      </c>
      <c r="AC71" s="1"/>
    </row>
    <row r="72" spans="2:29">
      <c r="AC72" s="50" t="s">
        <v>799</v>
      </c>
    </row>
    <row r="73" spans="2:29">
      <c r="B73" s="625" t="s">
        <v>819</v>
      </c>
      <c r="C73" s="621"/>
      <c r="D73" s="602"/>
      <c r="E73" s="375"/>
      <c r="F73" s="345"/>
      <c r="G73" s="375"/>
      <c r="H73" s="345"/>
      <c r="I73" s="375"/>
      <c r="J73" s="345"/>
      <c r="K73" s="375"/>
      <c r="L73" s="345"/>
      <c r="M73" s="375"/>
      <c r="N73" s="345"/>
      <c r="O73" s="375"/>
      <c r="P73" s="345"/>
      <c r="Q73" s="375">
        <f>+Q40</f>
        <v>0</v>
      </c>
      <c r="R73" s="345">
        <f>+IF(Q73&gt;0,ROUND($AB73*Q73+1000,-3),0)</f>
        <v>0</v>
      </c>
      <c r="S73" s="375">
        <f>+S40</f>
        <v>0</v>
      </c>
      <c r="T73" s="345">
        <f>+IF(S73&gt;0,ROUND($AB73*S73,-3),0)</f>
        <v>0</v>
      </c>
      <c r="U73" s="375">
        <f>+U40</f>
        <v>0</v>
      </c>
      <c r="V73" s="345">
        <f>+IF(U73&gt;0,ROUND($AB73*U73,-3),0)</f>
        <v>0</v>
      </c>
      <c r="W73" s="375"/>
      <c r="X73" s="345">
        <f>+IF(W73&gt;0,ROUND($AB73*W73,-3),0)</f>
        <v>0</v>
      </c>
      <c r="Y73" s="375"/>
      <c r="Z73" s="345">
        <f>+IF(Y73&gt;0,ROUND($AB73*Y73,-3),0)</f>
        <v>0</v>
      </c>
      <c r="AA73" s="337"/>
      <c r="AB73" s="337">
        <f>+SUM(F73,H73,J73,L73,N73,P73,R73,T73,V73,X73,Z73)</f>
        <v>0</v>
      </c>
      <c r="AC73" s="388"/>
    </row>
    <row r="74" spans="2:29">
      <c r="B74" s="622"/>
      <c r="C74" s="623"/>
      <c r="D74" s="604"/>
      <c r="E74" s="380"/>
      <c r="F74" s="389"/>
      <c r="G74" s="380"/>
      <c r="H74" s="347"/>
      <c r="I74" s="380"/>
      <c r="J74" s="347"/>
      <c r="K74" s="380"/>
      <c r="L74" s="347"/>
      <c r="M74" s="380"/>
      <c r="N74" s="347"/>
      <c r="O74" s="380"/>
      <c r="P74" s="347"/>
      <c r="Q74" s="380">
        <f>+Q41</f>
        <v>0</v>
      </c>
      <c r="R74" s="347">
        <f>+IF(Q74&gt;0,ROUND($AB74*Q74,-3),0)</f>
        <v>0</v>
      </c>
      <c r="S74" s="380">
        <f>+S41</f>
        <v>0</v>
      </c>
      <c r="T74" s="347">
        <f>+IF(S74&gt;0,ROUND($AB74*S74,-3),0)</f>
        <v>0</v>
      </c>
      <c r="U74" s="380">
        <f>+U41</f>
        <v>0</v>
      </c>
      <c r="V74" s="347">
        <f>+IF(U74&gt;0,ROUND($AB74*U74,-3),0)</f>
        <v>0</v>
      </c>
      <c r="W74" s="380" t="e">
        <f>+W41</f>
        <v>#REF!</v>
      </c>
      <c r="X74" s="347" t="e">
        <f>+IF(W74&gt;0,ROUND($AB74*W74,-3),0)</f>
        <v>#REF!</v>
      </c>
      <c r="Y74" s="380">
        <f>+Y41</f>
        <v>0</v>
      </c>
      <c r="Z74" s="347"/>
      <c r="AA74" s="347"/>
      <c r="AB74" s="347" t="e">
        <f>+SUM(F74,H74,J74,L74,N74,P74,R74,T74,V74,X74,Z74)</f>
        <v>#REF!</v>
      </c>
      <c r="AC74" s="390"/>
    </row>
    <row r="75" spans="2:29">
      <c r="B75" s="130"/>
      <c r="C75" s="601" t="s">
        <v>796</v>
      </c>
      <c r="D75" s="602"/>
      <c r="E75" s="375"/>
      <c r="F75" s="337"/>
      <c r="G75" s="375"/>
      <c r="H75" s="337"/>
      <c r="I75" s="337"/>
      <c r="J75" s="337"/>
      <c r="K75" s="337"/>
      <c r="L75" s="337"/>
      <c r="M75" s="337"/>
      <c r="N75" s="337"/>
      <c r="O75" s="337"/>
      <c r="P75" s="337"/>
      <c r="Q75" s="337"/>
      <c r="R75" s="337">
        <f>+IF(R$1=1,R73,0)</f>
        <v>0</v>
      </c>
      <c r="S75" s="337"/>
      <c r="T75" s="337">
        <f>+IF(T$1=1,T73,0)</f>
        <v>0</v>
      </c>
      <c r="U75" s="337"/>
      <c r="V75" s="337">
        <f>+IF(V$1=1,V73,0)</f>
        <v>0</v>
      </c>
      <c r="W75" s="337"/>
      <c r="X75" s="337">
        <f>+IF(X$1=1,X73,0)</f>
        <v>0</v>
      </c>
      <c r="Y75" s="337"/>
      <c r="Z75" s="337"/>
      <c r="AA75" s="337"/>
      <c r="AB75" s="386">
        <f>+SUM(F75,H75,J75,L75,N75,P75,R75,T75,V75,X75,Z75)</f>
        <v>0</v>
      </c>
      <c r="AC75" s="4"/>
    </row>
    <row r="76" spans="2:29">
      <c r="B76" s="119"/>
      <c r="C76" s="603"/>
      <c r="D76" s="604"/>
      <c r="E76" s="367"/>
      <c r="F76" s="347"/>
      <c r="G76" s="380"/>
      <c r="H76" s="347"/>
      <c r="I76" s="347"/>
      <c r="J76" s="347"/>
      <c r="K76" s="347"/>
      <c r="L76" s="347"/>
      <c r="M76" s="347"/>
      <c r="N76" s="347"/>
      <c r="O76" s="347"/>
      <c r="P76" s="347"/>
      <c r="Q76" s="347"/>
      <c r="R76" s="347">
        <f>+IF(R$1=1,R74,0)</f>
        <v>0</v>
      </c>
      <c r="S76" s="347"/>
      <c r="T76" s="347">
        <f>+IF(T$1=1,T74,0)</f>
        <v>0</v>
      </c>
      <c r="U76" s="347"/>
      <c r="V76" s="347">
        <f>+IF(V$1=1,V74,0)</f>
        <v>0</v>
      </c>
      <c r="W76" s="347"/>
      <c r="X76" s="347" t="e">
        <f>+IF(X$1=1,X74,0)</f>
        <v>#REF!</v>
      </c>
      <c r="Y76" s="347"/>
      <c r="Z76" s="347"/>
      <c r="AA76" s="347"/>
      <c r="AB76" s="347">
        <f>F76+H76+J76+L76+N76+Z76</f>
        <v>0</v>
      </c>
      <c r="AC76" s="382"/>
    </row>
    <row r="77" spans="2:29">
      <c r="B77" s="119"/>
      <c r="C77" s="601" t="s">
        <v>797</v>
      </c>
      <c r="D77" s="602"/>
      <c r="E77" s="375"/>
      <c r="F77" s="337">
        <f>+IF(F$1=2,F73,0)</f>
        <v>0</v>
      </c>
      <c r="G77" s="375"/>
      <c r="H77" s="337"/>
      <c r="I77" s="337"/>
      <c r="J77" s="337"/>
      <c r="K77" s="337"/>
      <c r="L77" s="337"/>
      <c r="M77" s="337"/>
      <c r="N77" s="337"/>
      <c r="O77" s="337"/>
      <c r="P77" s="337">
        <f>+IF(P$1=2,P73,0)</f>
        <v>0</v>
      </c>
      <c r="Q77" s="337"/>
      <c r="R77" s="337">
        <f>+IF(R$1=2,R73,0)</f>
        <v>0</v>
      </c>
      <c r="S77" s="337"/>
      <c r="T77" s="337">
        <f>+IF(T$1=2,T73,0)</f>
        <v>0</v>
      </c>
      <c r="U77" s="337"/>
      <c r="V77" s="337">
        <f>+IF(V$1=2,V73,0)</f>
        <v>0</v>
      </c>
      <c r="W77" s="337"/>
      <c r="X77" s="337">
        <f>+IF(X$1=2,X73,0)</f>
        <v>0</v>
      </c>
      <c r="Y77" s="337"/>
      <c r="Z77" s="337">
        <f>+IF(Z$1=2,Z73,0)</f>
        <v>0</v>
      </c>
      <c r="AA77" s="337"/>
      <c r="AB77" s="337">
        <f>+SUM(F77,H77,J77,L77,N77,P77,R77,T77,V77,X77,Z77)</f>
        <v>0</v>
      </c>
      <c r="AC77" s="4"/>
    </row>
    <row r="78" spans="2:29">
      <c r="B78" s="19"/>
      <c r="C78" s="603"/>
      <c r="D78" s="604"/>
      <c r="E78" s="380"/>
      <c r="F78" s="347">
        <f>+IF(F$1=2,F74,0)</f>
        <v>0</v>
      </c>
      <c r="G78" s="380"/>
      <c r="H78" s="347"/>
      <c r="I78" s="347"/>
      <c r="J78" s="347"/>
      <c r="K78" s="347"/>
      <c r="L78" s="347"/>
      <c r="M78" s="347"/>
      <c r="N78" s="347"/>
      <c r="O78" s="347"/>
      <c r="P78" s="347">
        <f>+IF(P$1=2,P74,0)</f>
        <v>0</v>
      </c>
      <c r="Q78" s="347"/>
      <c r="R78" s="347">
        <f>+IF(R$1=2,R74,0)</f>
        <v>0</v>
      </c>
      <c r="S78" s="347"/>
      <c r="T78" s="347">
        <f>+IF(T$1=2,T74,0)</f>
        <v>0</v>
      </c>
      <c r="U78" s="347"/>
      <c r="V78" s="347">
        <f>+IF(V$1=2,V74,0)</f>
        <v>0</v>
      </c>
      <c r="W78" s="347"/>
      <c r="X78" s="347">
        <f>+IF(X$1=2,X74,0)</f>
        <v>0</v>
      </c>
      <c r="Y78" s="347"/>
      <c r="Z78" s="347">
        <f>+IF(Z$1=2,Z74,0)</f>
        <v>0</v>
      </c>
      <c r="AA78" s="347"/>
      <c r="AB78" s="347">
        <f>N78+L78</f>
        <v>0</v>
      </c>
      <c r="AC78" s="382"/>
    </row>
    <row r="79" spans="2:29">
      <c r="AA79" s="605" t="s">
        <v>11</v>
      </c>
      <c r="AB79" s="337">
        <f>+SUM(AB75,AB77)</f>
        <v>0</v>
      </c>
      <c r="AC79" s="4">
        <f>+AC75+AC77</f>
        <v>0</v>
      </c>
    </row>
    <row r="80" spans="2:29">
      <c r="AA80" s="606"/>
      <c r="AB80" s="347">
        <f>+SUM(AB76,AB78)</f>
        <v>0</v>
      </c>
      <c r="AC80" s="1"/>
    </row>
    <row r="81" spans="2:29">
      <c r="AC81" s="50" t="s">
        <v>799</v>
      </c>
    </row>
    <row r="82" spans="2:29">
      <c r="B82" s="601" t="s">
        <v>800</v>
      </c>
      <c r="C82" s="621"/>
      <c r="D82" s="602"/>
      <c r="E82" s="375">
        <f>+E40</f>
        <v>0</v>
      </c>
      <c r="F82" s="345">
        <f>+F64-F73</f>
        <v>13966810</v>
      </c>
      <c r="G82" s="375">
        <f>+G40</f>
        <v>0</v>
      </c>
      <c r="H82" s="345">
        <f>+H64-H73</f>
        <v>0</v>
      </c>
      <c r="I82" s="375">
        <f>+I40</f>
        <v>0</v>
      </c>
      <c r="J82" s="345">
        <f>+J64-J73</f>
        <v>0</v>
      </c>
      <c r="K82" s="375">
        <f>+K40</f>
        <v>0</v>
      </c>
      <c r="L82" s="345">
        <f>+L64-L73</f>
        <v>0</v>
      </c>
      <c r="M82" s="375">
        <f>+M40</f>
        <v>0</v>
      </c>
      <c r="N82" s="345">
        <f>+N64-N73</f>
        <v>0</v>
      </c>
      <c r="O82" s="375">
        <f>+O40</f>
        <v>0</v>
      </c>
      <c r="P82" s="345">
        <f>+P64-P73</f>
        <v>0</v>
      </c>
      <c r="Q82" s="375">
        <f>+Q40</f>
        <v>0</v>
      </c>
      <c r="R82" s="345">
        <f>+R64-R73</f>
        <v>0</v>
      </c>
      <c r="S82" s="375">
        <f>+S40</f>
        <v>0</v>
      </c>
      <c r="T82" s="345">
        <f>+T64-T73</f>
        <v>0</v>
      </c>
      <c r="U82" s="375">
        <f>+U40</f>
        <v>0</v>
      </c>
      <c r="V82" s="345">
        <f>+V64-V73</f>
        <v>0</v>
      </c>
      <c r="W82" s="375">
        <f>+W40</f>
        <v>0</v>
      </c>
      <c r="X82" s="345">
        <f>+X64-X73</f>
        <v>0</v>
      </c>
      <c r="Y82" s="375" t="e">
        <f>+Y40</f>
        <v>#REF!</v>
      </c>
      <c r="Z82" s="345" t="e">
        <f>+Z64-Z73</f>
        <v>#REF!</v>
      </c>
      <c r="AA82" s="624"/>
      <c r="AB82" s="337" t="e">
        <f t="shared" ref="AB82:AB87" si="20">+SUM(F82,H82,J82,L82,N82,P82,R82,T82,V82,X82,Z82)</f>
        <v>#REF!</v>
      </c>
      <c r="AC82" s="388"/>
    </row>
    <row r="83" spans="2:29">
      <c r="B83" s="622"/>
      <c r="C83" s="623"/>
      <c r="D83" s="604"/>
      <c r="E83" s="380" t="e">
        <f>+E41</f>
        <v>#REF!</v>
      </c>
      <c r="F83" s="347">
        <f>+F65</f>
        <v>13966810</v>
      </c>
      <c r="G83" s="380">
        <f>+G41</f>
        <v>0</v>
      </c>
      <c r="H83" s="347">
        <f>+H65</f>
        <v>0</v>
      </c>
      <c r="I83" s="380">
        <f>+I41</f>
        <v>0</v>
      </c>
      <c r="J83" s="347">
        <f>+J65</f>
        <v>0</v>
      </c>
      <c r="K83" s="380">
        <f>+K41</f>
        <v>0</v>
      </c>
      <c r="L83" s="347">
        <f>+L65</f>
        <v>0</v>
      </c>
      <c r="M83" s="380">
        <f>+M41</f>
        <v>0</v>
      </c>
      <c r="N83" s="347">
        <f>+N65</f>
        <v>0</v>
      </c>
      <c r="O83" s="380">
        <f>+O41</f>
        <v>0</v>
      </c>
      <c r="P83" s="347">
        <f>+P65-P74</f>
        <v>0</v>
      </c>
      <c r="Q83" s="380">
        <f>+Q41</f>
        <v>0</v>
      </c>
      <c r="R83" s="347">
        <f>+R65-R74</f>
        <v>0</v>
      </c>
      <c r="S83" s="380">
        <f>+S41</f>
        <v>0</v>
      </c>
      <c r="T83" s="347">
        <f>+T65-T74</f>
        <v>0</v>
      </c>
      <c r="U83" s="380">
        <f>+U41</f>
        <v>0</v>
      </c>
      <c r="V83" s="347">
        <f>+V65-V74</f>
        <v>0</v>
      </c>
      <c r="W83" s="380" t="e">
        <f>+W41</f>
        <v>#REF!</v>
      </c>
      <c r="X83" s="347" t="e">
        <f>+X65-X74</f>
        <v>#REF!</v>
      </c>
      <c r="Y83" s="380">
        <f>+Y41</f>
        <v>0</v>
      </c>
      <c r="Z83" s="347">
        <f>+Z65</f>
        <v>0</v>
      </c>
      <c r="AA83" s="615"/>
      <c r="AB83" s="391" t="e">
        <f t="shared" si="20"/>
        <v>#REF!</v>
      </c>
      <c r="AC83" s="390"/>
    </row>
    <row r="84" spans="2:29">
      <c r="B84" s="130"/>
      <c r="C84" s="601" t="s">
        <v>796</v>
      </c>
      <c r="D84" s="602"/>
      <c r="E84" s="375"/>
      <c r="F84" s="337">
        <f>+IF(F$1=1,F82,0)</f>
        <v>13966810</v>
      </c>
      <c r="G84" s="375"/>
      <c r="H84" s="337">
        <f>+IF(H$1=1,H82,0)</f>
        <v>0</v>
      </c>
      <c r="I84" s="337"/>
      <c r="J84" s="337">
        <f>+IF(J$1=1,J82,0)</f>
        <v>0</v>
      </c>
      <c r="K84" s="337"/>
      <c r="L84" s="337">
        <f>+IF(L$1=1,L82,0)</f>
        <v>0</v>
      </c>
      <c r="M84" s="337"/>
      <c r="N84" s="337">
        <f>+IF(N$1=1,N82,0)</f>
        <v>0</v>
      </c>
      <c r="O84" s="337"/>
      <c r="P84" s="337">
        <f>+IF(P$1=1,P82,0)</f>
        <v>0</v>
      </c>
      <c r="Q84" s="337"/>
      <c r="R84" s="337">
        <f>+IF(R$1=1,R82,0)</f>
        <v>0</v>
      </c>
      <c r="S84" s="337"/>
      <c r="T84" s="337">
        <f>+IF(T$1=1,T82,0)</f>
        <v>0</v>
      </c>
      <c r="U84" s="337"/>
      <c r="V84" s="337">
        <f>+IF(V$1=1,V82,0)</f>
        <v>0</v>
      </c>
      <c r="W84" s="337"/>
      <c r="X84" s="337">
        <f>+IF(X$1=1,X82,0)</f>
        <v>0</v>
      </c>
      <c r="Y84" s="337"/>
      <c r="Z84" s="337"/>
      <c r="AA84" s="337"/>
      <c r="AB84" s="386">
        <f t="shared" si="20"/>
        <v>13966810</v>
      </c>
      <c r="AC84" s="4"/>
    </row>
    <row r="85" spans="2:29">
      <c r="B85" s="119"/>
      <c r="C85" s="603"/>
      <c r="D85" s="604"/>
      <c r="E85" s="380"/>
      <c r="F85" s="347">
        <f>+IF(F$1=1,F83,0)</f>
        <v>13966810</v>
      </c>
      <c r="G85" s="380"/>
      <c r="H85" s="347">
        <f>+IF(H$1=1,H83,0)</f>
        <v>0</v>
      </c>
      <c r="I85" s="347"/>
      <c r="J85" s="347">
        <f>+IF(J$1=1,J83,0)</f>
        <v>0</v>
      </c>
      <c r="K85" s="347"/>
      <c r="L85" s="347">
        <f>L83-L78</f>
        <v>0</v>
      </c>
      <c r="M85" s="347"/>
      <c r="N85" s="347">
        <f>+IF(N$1=1,N83,0)</f>
        <v>0</v>
      </c>
      <c r="O85" s="347"/>
      <c r="P85" s="347">
        <f>+IF(P$1=1,P83,0)</f>
        <v>0</v>
      </c>
      <c r="Q85" s="347"/>
      <c r="R85" s="347">
        <f>+IF(R$1=1,R83,0)</f>
        <v>0</v>
      </c>
      <c r="S85" s="347"/>
      <c r="T85" s="347">
        <f>+IF(T$1=1,T83,0)</f>
        <v>0</v>
      </c>
      <c r="U85" s="347"/>
      <c r="V85" s="347">
        <f>+IF(V$1=1,V83,0)</f>
        <v>0</v>
      </c>
      <c r="W85" s="347"/>
      <c r="X85" s="347" t="e">
        <f>+IF(X$1=1,X83,0)</f>
        <v>#REF!</v>
      </c>
      <c r="Y85" s="347"/>
      <c r="Z85" s="347">
        <f>+IF(Z$1=1,Z83,0)</f>
        <v>0</v>
      </c>
      <c r="AA85" s="347"/>
      <c r="AB85" s="391" t="e">
        <f t="shared" si="20"/>
        <v>#REF!</v>
      </c>
      <c r="AC85" s="382"/>
    </row>
    <row r="86" spans="2:29">
      <c r="B86" s="119"/>
      <c r="C86" s="601" t="s">
        <v>797</v>
      </c>
      <c r="D86" s="602"/>
      <c r="E86" s="375"/>
      <c r="F86" s="337">
        <f>+IF(F$1=2,F82,0)</f>
        <v>0</v>
      </c>
      <c r="G86" s="375"/>
      <c r="H86" s="337">
        <f>+IF(H$1=2,H82,0)</f>
        <v>0</v>
      </c>
      <c r="I86" s="337"/>
      <c r="J86" s="337">
        <f>+IF(J$1=2,J82,0)</f>
        <v>0</v>
      </c>
      <c r="K86" s="337"/>
      <c r="L86" s="337">
        <f>+IF(L$1=2,L82,0)</f>
        <v>0</v>
      </c>
      <c r="M86" s="337"/>
      <c r="N86" s="337">
        <f>+IF(N$1=2,N82,0)</f>
        <v>0</v>
      </c>
      <c r="O86" s="337"/>
      <c r="P86" s="337">
        <f>+IF(P$1=2,P82,0)</f>
        <v>0</v>
      </c>
      <c r="Q86" s="337"/>
      <c r="R86" s="337">
        <f>+IF(R$1=2,R82,0)</f>
        <v>0</v>
      </c>
      <c r="S86" s="337"/>
      <c r="T86" s="337">
        <f>+IF(T$1=2,T82,0)</f>
        <v>0</v>
      </c>
      <c r="U86" s="337"/>
      <c r="V86" s="337">
        <f>+IF(V$1=2,V82,0)</f>
        <v>0</v>
      </c>
      <c r="W86" s="337"/>
      <c r="X86" s="337">
        <f>+IF(X$1=2,X82,0)</f>
        <v>0</v>
      </c>
      <c r="Y86" s="337"/>
      <c r="Z86" s="337">
        <f>+IF(Z$1=2,Z82,0)</f>
        <v>0</v>
      </c>
      <c r="AA86" s="337"/>
      <c r="AB86" s="337">
        <f t="shared" si="20"/>
        <v>0</v>
      </c>
      <c r="AC86" s="4"/>
    </row>
    <row r="87" spans="2:29">
      <c r="B87" s="19"/>
      <c r="C87" s="603"/>
      <c r="D87" s="604"/>
      <c r="E87" s="380"/>
      <c r="F87" s="347">
        <f>+IF(F$1=2,F83,0)</f>
        <v>0</v>
      </c>
      <c r="G87" s="380"/>
      <c r="H87" s="347">
        <f>+IF(H$1=2,H83,0)</f>
        <v>0</v>
      </c>
      <c r="I87" s="347"/>
      <c r="J87" s="347">
        <f>+IF(J$1=2,J83,0)</f>
        <v>0</v>
      </c>
      <c r="K87" s="347"/>
      <c r="L87" s="347">
        <f>L78</f>
        <v>0</v>
      </c>
      <c r="M87" s="347"/>
      <c r="N87" s="347">
        <f>+IF(N$1=2,N83,0)</f>
        <v>0</v>
      </c>
      <c r="O87" s="347"/>
      <c r="P87" s="347">
        <f>+IF(P$1=2,P83,0)</f>
        <v>0</v>
      </c>
      <c r="Q87" s="347"/>
      <c r="R87" s="347">
        <f>+IF(R$1=2,R83,0)</f>
        <v>0</v>
      </c>
      <c r="S87" s="347"/>
      <c r="T87" s="347">
        <f>+IF(T$1=2,T83,0)</f>
        <v>0</v>
      </c>
      <c r="U87" s="347"/>
      <c r="V87" s="347">
        <f>+IF(V$1=2,V83,0)</f>
        <v>0</v>
      </c>
      <c r="W87" s="347"/>
      <c r="X87" s="347">
        <f>+IF(X$1=2,X83,0)</f>
        <v>0</v>
      </c>
      <c r="Y87" s="347"/>
      <c r="Z87" s="347">
        <f>+IF(Z$1=2,Z83,0)</f>
        <v>0</v>
      </c>
      <c r="AA87" s="347"/>
      <c r="AB87" s="391">
        <f t="shared" si="20"/>
        <v>0</v>
      </c>
      <c r="AC87" s="382"/>
    </row>
    <row r="88" spans="2:29">
      <c r="AA88" s="605" t="s">
        <v>11</v>
      </c>
      <c r="AB88" s="337">
        <f>+SUM(AB84,AB86)</f>
        <v>13966810</v>
      </c>
      <c r="AC88" s="4">
        <f>+AC84+AC86</f>
        <v>0</v>
      </c>
    </row>
    <row r="89" spans="2:29">
      <c r="AA89" s="606"/>
      <c r="AB89" s="391" t="e">
        <f>+SUM(AB85,AB87)</f>
        <v>#REF!</v>
      </c>
      <c r="AC89" s="1"/>
    </row>
    <row r="90" spans="2:29">
      <c r="B90" s="607" t="s">
        <v>439</v>
      </c>
      <c r="C90" s="608"/>
      <c r="D90" s="613" t="s">
        <v>801</v>
      </c>
      <c r="E90" s="392"/>
      <c r="F90" s="337"/>
      <c r="G90" s="375"/>
      <c r="H90" s="337"/>
      <c r="I90" s="337"/>
      <c r="J90" s="337"/>
      <c r="K90" s="337"/>
      <c r="L90" s="337"/>
      <c r="M90" s="337"/>
      <c r="N90" s="337"/>
      <c r="O90" s="337"/>
      <c r="P90" s="337"/>
      <c r="Q90" s="337"/>
      <c r="R90" s="337"/>
      <c r="S90" s="337"/>
      <c r="T90" s="337">
        <f>+T70</f>
        <v>0</v>
      </c>
      <c r="U90" s="337"/>
      <c r="V90" s="337">
        <f>+V70</f>
        <v>0</v>
      </c>
      <c r="W90" s="337"/>
      <c r="X90" s="337">
        <f>+X70</f>
        <v>0</v>
      </c>
      <c r="Y90" s="337"/>
      <c r="Z90" s="337">
        <f>+Z70</f>
        <v>0</v>
      </c>
      <c r="AA90" s="605" t="s">
        <v>11</v>
      </c>
      <c r="AB90" s="386">
        <f>+SUM(F90,H90,J90,L90,N90,P90,R90,T90,V90,X90,Z90)</f>
        <v>0</v>
      </c>
      <c r="AC90" s="4"/>
    </row>
    <row r="91" spans="2:29">
      <c r="B91" s="609"/>
      <c r="C91" s="610"/>
      <c r="D91" s="614"/>
      <c r="E91" s="393"/>
      <c r="F91" s="347"/>
      <c r="G91" s="380"/>
      <c r="H91" s="347"/>
      <c r="I91" s="347"/>
      <c r="J91" s="347"/>
      <c r="K91" s="347"/>
      <c r="L91" s="347"/>
      <c r="M91" s="347"/>
      <c r="N91" s="347"/>
      <c r="O91" s="347"/>
      <c r="P91" s="347"/>
      <c r="Q91" s="347"/>
      <c r="R91" s="347"/>
      <c r="S91" s="347"/>
      <c r="T91" s="347">
        <f>+T71</f>
        <v>0</v>
      </c>
      <c r="U91" s="347"/>
      <c r="V91" s="347">
        <f>+V71</f>
        <v>0</v>
      </c>
      <c r="W91" s="347"/>
      <c r="X91" s="347">
        <f>+X71</f>
        <v>0</v>
      </c>
      <c r="Y91" s="347"/>
      <c r="Z91" s="347">
        <f>+Z71</f>
        <v>0</v>
      </c>
      <c r="AA91" s="615"/>
      <c r="AB91" s="391">
        <f>+SUM(F91,H91,J91,L91,N91,P91,R91,T91,V91,X91,Z91)</f>
        <v>0</v>
      </c>
      <c r="AC91" s="382"/>
    </row>
    <row r="92" spans="2:29">
      <c r="B92" s="609"/>
      <c r="C92" s="610"/>
      <c r="D92" s="613" t="s">
        <v>820</v>
      </c>
      <c r="E92" s="392"/>
      <c r="F92" s="337"/>
      <c r="G92" s="375"/>
      <c r="H92" s="337"/>
      <c r="I92" s="337"/>
      <c r="J92" s="337"/>
      <c r="K92" s="337"/>
      <c r="L92" s="337"/>
      <c r="M92" s="337"/>
      <c r="N92" s="337"/>
      <c r="O92" s="337"/>
      <c r="P92" s="337"/>
      <c r="Q92" s="337"/>
      <c r="R92" s="337"/>
      <c r="S92" s="337"/>
      <c r="T92" s="337">
        <f>+T72</f>
        <v>0</v>
      </c>
      <c r="U92" s="337"/>
      <c r="V92" s="337">
        <f>+V72</f>
        <v>0</v>
      </c>
      <c r="W92" s="337"/>
      <c r="X92" s="337">
        <f>+X72</f>
        <v>0</v>
      </c>
      <c r="Y92" s="337"/>
      <c r="Z92" s="337">
        <f>+Z72</f>
        <v>0</v>
      </c>
      <c r="AA92" s="605" t="s">
        <v>11</v>
      </c>
      <c r="AB92" s="386">
        <f>+SUM(F92,H92,J92,L92,N92,P92,R92,T92,V92,X92,Z92)</f>
        <v>0</v>
      </c>
      <c r="AC92" s="4"/>
    </row>
    <row r="93" spans="2:29">
      <c r="B93" s="611"/>
      <c r="C93" s="612"/>
      <c r="D93" s="614"/>
      <c r="E93" s="393"/>
      <c r="F93" s="347"/>
      <c r="G93" s="380"/>
      <c r="H93" s="347"/>
      <c r="I93" s="347"/>
      <c r="J93" s="347"/>
      <c r="K93" s="347"/>
      <c r="L93" s="347"/>
      <c r="M93" s="347"/>
      <c r="N93" s="347"/>
      <c r="O93" s="347"/>
      <c r="P93" s="347"/>
      <c r="Q93" s="347"/>
      <c r="R93" s="347"/>
      <c r="S93" s="347"/>
      <c r="T93" s="347">
        <f>+T73</f>
        <v>0</v>
      </c>
      <c r="U93" s="347"/>
      <c r="V93" s="347">
        <f>+V73</f>
        <v>0</v>
      </c>
      <c r="W93" s="347"/>
      <c r="X93" s="347">
        <f>+X73</f>
        <v>0</v>
      </c>
      <c r="Y93" s="347"/>
      <c r="Z93" s="347">
        <f>+Z73</f>
        <v>0</v>
      </c>
      <c r="AA93" s="615"/>
      <c r="AB93" s="391">
        <f>+SUM(F93,H93,J93,L93,N93,P93,R93,T93,V93,X93,Z93)</f>
        <v>0</v>
      </c>
      <c r="AC93" s="382"/>
    </row>
  </sheetData>
  <mergeCells count="97">
    <mergeCell ref="D2:AA2"/>
    <mergeCell ref="B3:D6"/>
    <mergeCell ref="E3:F4"/>
    <mergeCell ref="G3:H4"/>
    <mergeCell ref="I3:J4"/>
    <mergeCell ref="K3:L4"/>
    <mergeCell ref="M3:N4"/>
    <mergeCell ref="O3:P4"/>
    <mergeCell ref="Q3:R4"/>
    <mergeCell ref="S3:T4"/>
    <mergeCell ref="AC3:AC6"/>
    <mergeCell ref="E6:F6"/>
    <mergeCell ref="G6:H6"/>
    <mergeCell ref="I6:J6"/>
    <mergeCell ref="K6:L6"/>
    <mergeCell ref="M6:N6"/>
    <mergeCell ref="Y6:Z6"/>
    <mergeCell ref="U3:V4"/>
    <mergeCell ref="W3:X4"/>
    <mergeCell ref="Y3:Z4"/>
    <mergeCell ref="AA3:AB6"/>
    <mergeCell ref="O6:P6"/>
    <mergeCell ref="Q6:R6"/>
    <mergeCell ref="S6:T6"/>
    <mergeCell ref="U6:V6"/>
    <mergeCell ref="W6:X6"/>
    <mergeCell ref="C8:C13"/>
    <mergeCell ref="D8:D9"/>
    <mergeCell ref="D10:D11"/>
    <mergeCell ref="D12:D13"/>
    <mergeCell ref="C14:C19"/>
    <mergeCell ref="D14:D15"/>
    <mergeCell ref="D16:D17"/>
    <mergeCell ref="D18:D19"/>
    <mergeCell ref="B42:D43"/>
    <mergeCell ref="C20:C25"/>
    <mergeCell ref="D20:D21"/>
    <mergeCell ref="D22:D23"/>
    <mergeCell ref="D24:D25"/>
    <mergeCell ref="B26:D27"/>
    <mergeCell ref="B28:D29"/>
    <mergeCell ref="B30:D31"/>
    <mergeCell ref="B33:D34"/>
    <mergeCell ref="B35:D36"/>
    <mergeCell ref="AA37:AA38"/>
    <mergeCell ref="B40:D41"/>
    <mergeCell ref="W55:X56"/>
    <mergeCell ref="B44:D45"/>
    <mergeCell ref="B47:D48"/>
    <mergeCell ref="B49:D50"/>
    <mergeCell ref="AA51:AA52"/>
    <mergeCell ref="D54:AA54"/>
    <mergeCell ref="B55:D58"/>
    <mergeCell ref="E55:F56"/>
    <mergeCell ref="G55:H56"/>
    <mergeCell ref="I55:J56"/>
    <mergeCell ref="K55:L56"/>
    <mergeCell ref="S58:T58"/>
    <mergeCell ref="U58:V58"/>
    <mergeCell ref="W58:X58"/>
    <mergeCell ref="Y55:Z56"/>
    <mergeCell ref="AA55:AB58"/>
    <mergeCell ref="AC55:AC58"/>
    <mergeCell ref="E58:F58"/>
    <mergeCell ref="G58:H58"/>
    <mergeCell ref="I58:J58"/>
    <mergeCell ref="K58:L58"/>
    <mergeCell ref="M58:N58"/>
    <mergeCell ref="O58:P58"/>
    <mergeCell ref="Q58:R58"/>
    <mergeCell ref="M55:N56"/>
    <mergeCell ref="O55:P56"/>
    <mergeCell ref="Q55:R56"/>
    <mergeCell ref="S55:T56"/>
    <mergeCell ref="U55:V56"/>
    <mergeCell ref="Y58:Z58"/>
    <mergeCell ref="B60:D61"/>
    <mergeCell ref="C84:D85"/>
    <mergeCell ref="B64:D65"/>
    <mergeCell ref="AA64:AA65"/>
    <mergeCell ref="C66:D67"/>
    <mergeCell ref="C68:D69"/>
    <mergeCell ref="AA70:AA71"/>
    <mergeCell ref="B73:D74"/>
    <mergeCell ref="C75:D76"/>
    <mergeCell ref="C77:D78"/>
    <mergeCell ref="AA79:AA80"/>
    <mergeCell ref="B82:D83"/>
    <mergeCell ref="AA82:AA83"/>
    <mergeCell ref="B62:D63"/>
    <mergeCell ref="C86:D87"/>
    <mergeCell ref="AA88:AA89"/>
    <mergeCell ref="B90:C93"/>
    <mergeCell ref="D90:D91"/>
    <mergeCell ref="AA90:AA91"/>
    <mergeCell ref="D92:D93"/>
    <mergeCell ref="AA92:AA93"/>
  </mergeCells>
  <phoneticPr fontId="3"/>
  <pageMargins left="0.98425196850393704" right="0.19685039370078741" top="0.39370078740157483" bottom="0.39370078740157483" header="0.31496062992125984" footer="0.31496062992125984"/>
  <pageSetup paperSize="9" scale="61"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3"/>
  <sheetViews>
    <sheetView showGridLines="0" showZeros="0" view="pageBreakPreview" topLeftCell="A8" zoomScaleNormal="100" zoomScaleSheetLayoutView="100" workbookViewId="0">
      <selection activeCell="E18" sqref="E18"/>
    </sheetView>
  </sheetViews>
  <sheetFormatPr defaultRowHeight="18.75"/>
  <cols>
    <col min="2" max="2" width="2.125" customWidth="1"/>
    <col min="3" max="3" width="15.625" customWidth="1"/>
    <col min="4" max="4" width="2.125" customWidth="1"/>
    <col min="5" max="7" width="20.625" customWidth="1"/>
  </cols>
  <sheetData>
    <row r="1" spans="1:7">
      <c r="A1" s="298" t="s">
        <v>476</v>
      </c>
    </row>
    <row r="2" spans="1:7">
      <c r="B2" s="16"/>
      <c r="C2" s="17"/>
      <c r="D2" s="17"/>
      <c r="E2" s="545" t="s">
        <v>918</v>
      </c>
      <c r="F2" s="546"/>
      <c r="G2" s="18"/>
    </row>
    <row r="3" spans="1:7">
      <c r="B3" s="19"/>
      <c r="C3" s="20"/>
      <c r="D3" s="20"/>
      <c r="E3" s="547"/>
      <c r="F3" s="547"/>
      <c r="G3" s="103" t="s">
        <v>112</v>
      </c>
    </row>
    <row r="4" spans="1:7" ht="23.1" customHeight="1">
      <c r="B4" s="16"/>
      <c r="C4" s="539" t="s">
        <v>435</v>
      </c>
      <c r="D4" s="18"/>
      <c r="E4" s="548" t="s">
        <v>436</v>
      </c>
      <c r="F4" s="549"/>
      <c r="G4" s="534" t="s">
        <v>437</v>
      </c>
    </row>
    <row r="5" spans="1:7" ht="23.1" customHeight="1">
      <c r="B5" s="19"/>
      <c r="C5" s="540"/>
      <c r="D5" s="20"/>
      <c r="E5" s="159" t="s">
        <v>212</v>
      </c>
      <c r="F5" s="159" t="s">
        <v>214</v>
      </c>
      <c r="G5" s="535"/>
    </row>
    <row r="6" spans="1:7" ht="23.1" customHeight="1">
      <c r="B6" s="16"/>
      <c r="C6" s="539" t="s">
        <v>10</v>
      </c>
      <c r="D6" s="18"/>
      <c r="E6" s="287"/>
      <c r="F6" s="106"/>
      <c r="G6" s="3"/>
    </row>
    <row r="7" spans="1:7" ht="23.1" customHeight="1">
      <c r="B7" s="19"/>
      <c r="C7" s="540"/>
      <c r="D7" s="21"/>
      <c r="E7" s="288">
        <f>+'内訳(機械)補助'!H13</f>
        <v>0</v>
      </c>
      <c r="F7" s="110">
        <f>+'内訳(電気)補助'!H15</f>
        <v>0</v>
      </c>
      <c r="G7" s="1"/>
    </row>
    <row r="8" spans="1:7" ht="23.1" customHeight="1">
      <c r="B8" s="16"/>
      <c r="C8" s="539" t="s">
        <v>120</v>
      </c>
      <c r="D8" s="18"/>
      <c r="E8" s="287">
        <f>'内訳(機械)単独'!I42</f>
        <v>0</v>
      </c>
      <c r="F8" s="106">
        <f>'内訳(電気)単独'!I44</f>
        <v>0</v>
      </c>
      <c r="G8" s="3"/>
    </row>
    <row r="9" spans="1:7" ht="23.1" customHeight="1">
      <c r="B9" s="19"/>
      <c r="C9" s="540"/>
      <c r="D9" s="21"/>
      <c r="E9" s="288">
        <f>+'内訳(機械)補助'!H29</f>
        <v>0</v>
      </c>
      <c r="F9" s="110">
        <f>+'内訳(電気)補助'!H37</f>
        <v>0</v>
      </c>
      <c r="G9" s="1"/>
    </row>
    <row r="10" spans="1:7" ht="23.1" customHeight="1">
      <c r="B10" s="16"/>
      <c r="C10" s="539" t="s">
        <v>121</v>
      </c>
      <c r="D10" s="18"/>
      <c r="E10" s="287">
        <f>'内訳(機械)単独'!I62</f>
        <v>0</v>
      </c>
      <c r="F10" s="396">
        <f>'内訳(電気)単独'!I64</f>
        <v>0</v>
      </c>
      <c r="G10" s="3"/>
    </row>
    <row r="11" spans="1:7" ht="23.1" customHeight="1">
      <c r="B11" s="19"/>
      <c r="C11" s="540"/>
      <c r="D11" s="21"/>
      <c r="E11" s="288">
        <f>+'内訳(機械)補助'!H45</f>
        <v>0</v>
      </c>
      <c r="F11" s="110" t="e">
        <f>+'内訳(電気)補助'!#REF!</f>
        <v>#REF!</v>
      </c>
      <c r="G11" s="1"/>
    </row>
    <row r="12" spans="1:7" ht="23.1" customHeight="1">
      <c r="B12" s="16"/>
      <c r="C12" s="539" t="s">
        <v>134</v>
      </c>
      <c r="D12" s="18"/>
      <c r="E12" s="287">
        <f>'内訳(機械)単独'!I64</f>
        <v>0</v>
      </c>
      <c r="F12" s="106"/>
      <c r="G12" s="3"/>
    </row>
    <row r="13" spans="1:7" ht="23.1" customHeight="1">
      <c r="B13" s="19"/>
      <c r="C13" s="540"/>
      <c r="D13" s="21"/>
      <c r="E13" s="288">
        <f>+'内訳(機械)補助'!H47</f>
        <v>0</v>
      </c>
      <c r="F13" s="110"/>
      <c r="G13" s="1"/>
    </row>
    <row r="14" spans="1:7" ht="23.1" customHeight="1">
      <c r="B14" s="16"/>
      <c r="C14" s="539" t="s">
        <v>136</v>
      </c>
      <c r="D14" s="18"/>
      <c r="E14" s="287">
        <f>'内訳(機械)単独'!I70</f>
        <v>0</v>
      </c>
      <c r="F14" s="106"/>
      <c r="G14" s="3"/>
    </row>
    <row r="15" spans="1:7" ht="23.1" customHeight="1">
      <c r="B15" s="19"/>
      <c r="C15" s="540"/>
      <c r="D15" s="21"/>
      <c r="E15" s="288">
        <f>+'内訳(機械)補助'!H53</f>
        <v>0</v>
      </c>
      <c r="F15" s="110"/>
      <c r="G15" s="1"/>
    </row>
    <row r="16" spans="1:7" ht="23.1" customHeight="1">
      <c r="B16" s="16"/>
      <c r="C16" s="539" t="s">
        <v>138</v>
      </c>
      <c r="D16" s="18"/>
      <c r="E16" s="287">
        <f>'内訳(機械)単独'!I72</f>
        <v>0</v>
      </c>
      <c r="F16" s="106">
        <f>'内訳(電気)単独'!I66</f>
        <v>0</v>
      </c>
      <c r="G16" s="3"/>
    </row>
    <row r="17" spans="2:7" ht="23.1" customHeight="1">
      <c r="B17" s="19"/>
      <c r="C17" s="540"/>
      <c r="D17" s="21"/>
      <c r="E17" s="288">
        <f>+'内訳(機械)補助'!H55</f>
        <v>0</v>
      </c>
      <c r="F17" s="110">
        <f>+'内訳(電気)補助'!H53</f>
        <v>0</v>
      </c>
      <c r="G17" s="1"/>
    </row>
    <row r="18" spans="2:7" ht="23.1" customHeight="1">
      <c r="B18" s="16"/>
      <c r="C18" s="539" t="s">
        <v>140</v>
      </c>
      <c r="D18" s="18"/>
      <c r="E18" s="287" t="e">
        <f>'内訳(機械)単独'!I80</f>
        <v>#DIV/0!</v>
      </c>
      <c r="F18" s="106">
        <f>'内訳(電気)単独'!I74</f>
        <v>0</v>
      </c>
      <c r="G18" s="3"/>
    </row>
    <row r="19" spans="2:7" ht="23.1" customHeight="1">
      <c r="B19" s="19"/>
      <c r="C19" s="540"/>
      <c r="D19" s="21"/>
      <c r="E19" s="288">
        <f>+'内訳(機械)補助'!H63</f>
        <v>0</v>
      </c>
      <c r="F19" s="110">
        <f>+'内訳(電気)補助'!H61</f>
        <v>0</v>
      </c>
      <c r="G19" s="1"/>
    </row>
    <row r="20" spans="2:7" ht="23.1" customHeight="1">
      <c r="B20" s="16"/>
      <c r="C20" s="539" t="s">
        <v>145</v>
      </c>
      <c r="D20" s="18"/>
      <c r="E20" s="287" t="e">
        <f>'内訳(機械)単独'!I82</f>
        <v>#DIV/0!</v>
      </c>
      <c r="F20" s="106">
        <f>'内訳(電気)単独'!I76</f>
        <v>0</v>
      </c>
      <c r="G20" s="3"/>
    </row>
    <row r="21" spans="2:7" ht="23.1" customHeight="1">
      <c r="B21" s="19"/>
      <c r="C21" s="540"/>
      <c r="D21" s="21"/>
      <c r="E21" s="288">
        <f>+'内訳(機械)補助'!H65</f>
        <v>0</v>
      </c>
      <c r="F21" s="110">
        <f>+'内訳(電気)補助'!H63</f>
        <v>0</v>
      </c>
      <c r="G21" s="1"/>
    </row>
    <row r="22" spans="2:7" ht="23.1" customHeight="1">
      <c r="B22" s="16"/>
      <c r="C22" s="539" t="s">
        <v>438</v>
      </c>
      <c r="D22" s="18"/>
      <c r="E22" s="541" t="e">
        <f>+SUM(E20,F20)</f>
        <v>#DIV/0!</v>
      </c>
      <c r="F22" s="542"/>
      <c r="G22" s="3"/>
    </row>
    <row r="23" spans="2:7" ht="23.1" customHeight="1">
      <c r="B23" s="19"/>
      <c r="C23" s="540"/>
      <c r="D23" s="21"/>
      <c r="E23" s="543">
        <f>+SUM(E21,F21)</f>
        <v>0</v>
      </c>
      <c r="F23" s="544"/>
      <c r="G23" s="1"/>
    </row>
    <row r="24" spans="2:7" ht="23.1" customHeight="1">
      <c r="B24" s="16"/>
      <c r="C24" s="539" t="s">
        <v>439</v>
      </c>
      <c r="D24" s="18"/>
      <c r="E24" s="541" t="e">
        <f>+E22*10%</f>
        <v>#DIV/0!</v>
      </c>
      <c r="F24" s="542"/>
      <c r="G24" s="3"/>
    </row>
    <row r="25" spans="2:7" ht="23.1" customHeight="1">
      <c r="B25" s="19"/>
      <c r="C25" s="540"/>
      <c r="D25" s="21"/>
      <c r="E25" s="543">
        <f>+E23*10%</f>
        <v>0</v>
      </c>
      <c r="F25" s="544"/>
      <c r="G25" s="1"/>
    </row>
    <row r="26" spans="2:7" ht="23.1" customHeight="1">
      <c r="B26" s="16"/>
      <c r="C26" s="539" t="s">
        <v>440</v>
      </c>
      <c r="D26" s="18"/>
      <c r="E26" s="541" t="e">
        <f>+E22+E24</f>
        <v>#DIV/0!</v>
      </c>
      <c r="F26" s="542"/>
      <c r="G26" s="3"/>
    </row>
    <row r="27" spans="2:7" ht="23.1" customHeight="1">
      <c r="B27" s="19"/>
      <c r="C27" s="540"/>
      <c r="D27" s="21"/>
      <c r="E27" s="543">
        <f>+E23+E25</f>
        <v>0</v>
      </c>
      <c r="F27" s="544"/>
      <c r="G27" s="1"/>
    </row>
    <row r="28" spans="2:7" ht="23.1" customHeight="1">
      <c r="B28" s="16"/>
      <c r="C28" s="539" t="s">
        <v>441</v>
      </c>
      <c r="D28" s="18"/>
      <c r="E28" s="541"/>
      <c r="F28" s="542"/>
      <c r="G28" s="3"/>
    </row>
    <row r="29" spans="2:7" ht="23.1" customHeight="1">
      <c r="B29" s="19"/>
      <c r="C29" s="540"/>
      <c r="D29" s="21"/>
      <c r="E29" s="543"/>
      <c r="F29" s="544"/>
      <c r="G29" s="1"/>
    </row>
    <row r="30" spans="2:7" ht="23.1" customHeight="1">
      <c r="B30" s="16"/>
      <c r="C30" s="539" t="s">
        <v>439</v>
      </c>
      <c r="D30" s="18"/>
      <c r="E30" s="541"/>
      <c r="F30" s="542"/>
      <c r="G30" s="3"/>
    </row>
    <row r="31" spans="2:7" ht="23.1" customHeight="1">
      <c r="B31" s="19"/>
      <c r="C31" s="540"/>
      <c r="D31" s="21"/>
      <c r="E31" s="543"/>
      <c r="F31" s="544"/>
      <c r="G31" s="1"/>
    </row>
    <row r="32" spans="2:7" ht="23.1" customHeight="1">
      <c r="B32" s="16"/>
      <c r="C32" s="539" t="s">
        <v>442</v>
      </c>
      <c r="D32" s="18"/>
      <c r="E32" s="541"/>
      <c r="F32" s="542"/>
      <c r="G32" s="3"/>
    </row>
    <row r="33" spans="2:7" ht="23.1" customHeight="1">
      <c r="B33" s="19"/>
      <c r="C33" s="540"/>
      <c r="D33" s="21"/>
      <c r="E33" s="543"/>
      <c r="F33" s="544"/>
      <c r="G33" s="1"/>
    </row>
  </sheetData>
  <mergeCells count="30">
    <mergeCell ref="C20:C21"/>
    <mergeCell ref="E2:F3"/>
    <mergeCell ref="C4:C5"/>
    <mergeCell ref="E4:F4"/>
    <mergeCell ref="G4:G5"/>
    <mergeCell ref="C6:C7"/>
    <mergeCell ref="C8:C9"/>
    <mergeCell ref="C10:C11"/>
    <mergeCell ref="C12:C13"/>
    <mergeCell ref="C14:C15"/>
    <mergeCell ref="C16:C17"/>
    <mergeCell ref="C18:C19"/>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C32:C33"/>
    <mergeCell ref="E32:F32"/>
    <mergeCell ref="E33:F33"/>
  </mergeCells>
  <phoneticPr fontId="3"/>
  <hyperlinks>
    <hyperlink ref="A1" location="menu!A1" display="menu" xr:uid="{00000000-0004-0000-0E00-000000000000}"/>
  </hyperlinks>
  <printOptions horizontalCentered="1"/>
  <pageMargins left="0.78740157480314965" right="0.39370078740157483"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6:CD44"/>
  <sheetViews>
    <sheetView showGridLines="0" view="pageBreakPreview" zoomScale="85" zoomScaleNormal="100" zoomScaleSheetLayoutView="85" workbookViewId="0">
      <selection activeCell="A9" sqref="A9:H10"/>
    </sheetView>
  </sheetViews>
  <sheetFormatPr defaultRowHeight="18.75"/>
  <sheetData>
    <row r="6" spans="1:82">
      <c r="CD6" t="s">
        <v>1147</v>
      </c>
    </row>
    <row r="7" spans="1:82" ht="18.75" customHeight="1">
      <c r="A7" s="529" t="str">
        <f>表紙!B7</f>
        <v>令和７年度</v>
      </c>
      <c r="B7" s="529"/>
      <c r="C7" s="529"/>
    </row>
    <row r="8" spans="1:82" ht="18.75" customHeight="1">
      <c r="A8" s="529"/>
      <c r="B8" s="529"/>
      <c r="C8" s="529"/>
      <c r="AT8" s="97"/>
      <c r="CD8" t="s">
        <v>1147</v>
      </c>
    </row>
    <row r="9" spans="1:82" ht="18.75" customHeight="1">
      <c r="A9" s="530" t="str">
        <f>+menu!F6</f>
        <v>鶴岡市集落排水事業</v>
      </c>
      <c r="B9" s="530"/>
      <c r="C9" s="530"/>
      <c r="D9" s="530"/>
      <c r="E9" s="530"/>
      <c r="F9" s="530"/>
      <c r="G9" s="530"/>
      <c r="H9" s="530"/>
    </row>
    <row r="10" spans="1:82" ht="18.75" customHeight="1">
      <c r="A10" s="530"/>
      <c r="B10" s="530"/>
      <c r="C10" s="530"/>
      <c r="D10" s="530"/>
      <c r="E10" s="530"/>
      <c r="F10" s="530"/>
      <c r="G10" s="530"/>
      <c r="H10" s="530"/>
      <c r="CD10" t="s">
        <v>1148</v>
      </c>
    </row>
    <row r="11" spans="1:82" ht="18.75" customHeight="1">
      <c r="A11" s="530" t="str">
        <f>表紙!B11</f>
        <v>東栄地区処理施設機械設備改修工事</v>
      </c>
      <c r="B11" s="530"/>
      <c r="C11" s="530"/>
      <c r="D11" s="530"/>
      <c r="E11" s="530"/>
      <c r="F11" s="530"/>
      <c r="G11" s="530"/>
      <c r="H11" s="530"/>
    </row>
    <row r="12" spans="1:82" ht="18.75" customHeight="1">
      <c r="A12" s="530"/>
      <c r="B12" s="530"/>
      <c r="C12" s="530"/>
      <c r="D12" s="530"/>
      <c r="E12" s="530"/>
      <c r="F12" s="530"/>
      <c r="G12" s="530"/>
      <c r="H12" s="530"/>
    </row>
    <row r="14" spans="1:82">
      <c r="A14" s="530" t="s">
        <v>212</v>
      </c>
      <c r="B14" s="530"/>
      <c r="C14" s="530"/>
      <c r="D14" s="530"/>
      <c r="E14" s="530"/>
      <c r="F14" s="530"/>
      <c r="G14" s="530"/>
      <c r="H14" s="530"/>
    </row>
    <row r="15" spans="1:82">
      <c r="A15" s="530"/>
      <c r="B15" s="530"/>
      <c r="C15" s="530"/>
      <c r="D15" s="530"/>
      <c r="E15" s="530"/>
      <c r="F15" s="530"/>
      <c r="G15" s="530"/>
      <c r="H15" s="530"/>
    </row>
    <row r="16" spans="1:82">
      <c r="A16" s="530" t="s">
        <v>213</v>
      </c>
      <c r="B16" s="530"/>
      <c r="C16" s="530"/>
      <c r="D16" s="530"/>
      <c r="E16" s="530"/>
      <c r="F16" s="530"/>
      <c r="G16" s="530"/>
      <c r="H16" s="530"/>
    </row>
    <row r="17" spans="1:8">
      <c r="A17" s="530"/>
      <c r="B17" s="530"/>
      <c r="C17" s="530"/>
      <c r="D17" s="530"/>
      <c r="E17" s="530"/>
      <c r="F17" s="530"/>
      <c r="G17" s="530"/>
      <c r="H17" s="530"/>
    </row>
    <row r="20" spans="1:8">
      <c r="A20" s="658"/>
      <c r="B20" s="659"/>
      <c r="C20" s="659"/>
      <c r="D20" s="659"/>
      <c r="E20" s="659"/>
      <c r="F20" s="659"/>
      <c r="G20" s="659"/>
      <c r="H20" s="659"/>
    </row>
    <row r="21" spans="1:8">
      <c r="A21" s="659"/>
      <c r="B21" s="659"/>
      <c r="C21" s="659"/>
      <c r="D21" s="659"/>
      <c r="E21" s="659"/>
      <c r="F21" s="659"/>
      <c r="G21" s="659"/>
      <c r="H21" s="659"/>
    </row>
    <row r="24" spans="1:8" ht="18.75" customHeight="1">
      <c r="C24" s="530"/>
      <c r="D24" s="532"/>
      <c r="E24" s="532"/>
      <c r="F24" s="532"/>
    </row>
    <row r="25" spans="1:8" ht="18.75" customHeight="1">
      <c r="C25" s="532"/>
      <c r="D25" s="532"/>
      <c r="E25" s="532"/>
      <c r="F25" s="532"/>
    </row>
    <row r="35" spans="1:12" ht="18.75" customHeight="1">
      <c r="A35" s="531" t="s">
        <v>1145</v>
      </c>
      <c r="B35" s="531"/>
      <c r="C35" s="531"/>
      <c r="D35" s="531"/>
      <c r="E35" s="531"/>
      <c r="F35" s="531"/>
      <c r="G35" s="531"/>
      <c r="H35" s="531"/>
    </row>
    <row r="36" spans="1:12" ht="18.75" customHeight="1">
      <c r="A36" s="531"/>
      <c r="B36" s="531"/>
      <c r="C36" s="531"/>
      <c r="D36" s="531"/>
      <c r="E36" s="531"/>
      <c r="F36" s="531"/>
      <c r="G36" s="531"/>
      <c r="H36" s="531"/>
    </row>
    <row r="37" spans="1:12">
      <c r="A37" s="528" t="s">
        <v>211</v>
      </c>
      <c r="B37" s="528"/>
      <c r="C37" s="528"/>
      <c r="D37" s="528"/>
      <c r="E37" s="528"/>
      <c r="F37" s="528"/>
      <c r="G37" s="528"/>
      <c r="H37" s="528"/>
    </row>
    <row r="38" spans="1:12">
      <c r="A38" s="528"/>
      <c r="B38" s="528"/>
      <c r="C38" s="528"/>
      <c r="D38" s="528"/>
      <c r="E38" s="528"/>
      <c r="F38" s="528"/>
      <c r="G38" s="528"/>
      <c r="H38" s="528"/>
    </row>
    <row r="44" spans="1:12">
      <c r="L44" s="489"/>
    </row>
  </sheetData>
  <mergeCells count="9">
    <mergeCell ref="A37:H38"/>
    <mergeCell ref="A16:H17"/>
    <mergeCell ref="A20:H21"/>
    <mergeCell ref="A7:C8"/>
    <mergeCell ref="A9:H10"/>
    <mergeCell ref="A11:H12"/>
    <mergeCell ref="A14:H15"/>
    <mergeCell ref="A35:H36"/>
    <mergeCell ref="C24:F25"/>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2:CD79"/>
  <sheetViews>
    <sheetView showGridLines="0" view="pageBreakPreview" topLeftCell="A28" zoomScale="55" zoomScaleNormal="100" zoomScaleSheetLayoutView="55" workbookViewId="0">
      <selection activeCell="BH45" sqref="BH45"/>
    </sheetView>
  </sheetViews>
  <sheetFormatPr defaultRowHeight="18.75"/>
  <cols>
    <col min="1" max="48" width="2.625" customWidth="1"/>
  </cols>
  <sheetData>
    <row r="2" spans="1:82" ht="15" customHeight="1">
      <c r="A2" s="596" t="s">
        <v>443</v>
      </c>
      <c r="B2" s="536"/>
      <c r="C2" s="536"/>
      <c r="D2" s="536"/>
      <c r="E2" s="536"/>
      <c r="F2" s="536"/>
      <c r="G2" s="536"/>
      <c r="H2" s="536"/>
      <c r="I2" s="536"/>
      <c r="J2" s="536"/>
      <c r="K2" s="536"/>
      <c r="L2" s="536"/>
      <c r="M2" s="536"/>
      <c r="N2" s="536"/>
      <c r="O2" s="536"/>
      <c r="P2" s="536"/>
      <c r="Q2" s="536"/>
      <c r="R2" s="536"/>
      <c r="S2" s="536"/>
      <c r="T2" s="536"/>
      <c r="U2" s="536"/>
      <c r="V2" s="536"/>
      <c r="W2" s="536"/>
      <c r="X2" s="597"/>
      <c r="Y2" s="596" t="s">
        <v>444</v>
      </c>
      <c r="Z2" s="536"/>
      <c r="AA2" s="536"/>
      <c r="AB2" s="536"/>
      <c r="AC2" s="536"/>
      <c r="AD2" s="536"/>
      <c r="AE2" s="536"/>
      <c r="AF2" s="536"/>
      <c r="AG2" s="536"/>
      <c r="AH2" s="536"/>
      <c r="AI2" s="536"/>
      <c r="AJ2" s="536"/>
      <c r="AK2" s="536"/>
      <c r="AL2" s="536"/>
      <c r="AM2" s="536"/>
      <c r="AN2" s="536"/>
      <c r="AO2" s="536"/>
      <c r="AP2" s="536"/>
      <c r="AQ2" s="536"/>
      <c r="AR2" s="536"/>
      <c r="AS2" s="536"/>
      <c r="AT2" s="536"/>
      <c r="AU2" s="536"/>
      <c r="AV2" s="597"/>
    </row>
    <row r="3" spans="1:82" ht="15" customHeight="1" thickBot="1">
      <c r="A3" s="598"/>
      <c r="B3" s="599"/>
      <c r="C3" s="599"/>
      <c r="D3" s="599"/>
      <c r="E3" s="599"/>
      <c r="F3" s="599"/>
      <c r="G3" s="599"/>
      <c r="H3" s="599"/>
      <c r="I3" s="599"/>
      <c r="J3" s="599"/>
      <c r="K3" s="599"/>
      <c r="L3" s="599"/>
      <c r="M3" s="599"/>
      <c r="N3" s="599"/>
      <c r="O3" s="599"/>
      <c r="P3" s="599"/>
      <c r="Q3" s="599"/>
      <c r="R3" s="599"/>
      <c r="S3" s="599"/>
      <c r="T3" s="599"/>
      <c r="U3" s="599"/>
      <c r="V3" s="599"/>
      <c r="W3" s="599"/>
      <c r="X3" s="600"/>
      <c r="Y3" s="598"/>
      <c r="Z3" s="599"/>
      <c r="AA3" s="599"/>
      <c r="AB3" s="599"/>
      <c r="AC3" s="599"/>
      <c r="AD3" s="599"/>
      <c r="AE3" s="599"/>
      <c r="AF3" s="599"/>
      <c r="AG3" s="599"/>
      <c r="AH3" s="599"/>
      <c r="AI3" s="599"/>
      <c r="AJ3" s="599"/>
      <c r="AK3" s="599"/>
      <c r="AL3" s="599"/>
      <c r="AM3" s="599"/>
      <c r="AN3" s="599"/>
      <c r="AO3" s="599"/>
      <c r="AP3" s="599"/>
      <c r="AQ3" s="599"/>
      <c r="AR3" s="599"/>
      <c r="AS3" s="599"/>
      <c r="AT3" s="599"/>
      <c r="AU3" s="599"/>
      <c r="AV3" s="600"/>
    </row>
    <row r="4" spans="1:82" ht="15" customHeight="1" thickTop="1">
      <c r="A4" s="289"/>
      <c r="B4" s="50"/>
      <c r="C4" s="50"/>
      <c r="D4" s="50"/>
      <c r="E4" s="50"/>
      <c r="F4" s="50"/>
      <c r="G4" s="50"/>
      <c r="H4" s="50"/>
      <c r="I4" s="50"/>
      <c r="J4" s="50"/>
      <c r="K4" s="50"/>
      <c r="L4" s="50"/>
      <c r="M4" s="50"/>
      <c r="N4" s="50"/>
      <c r="O4" s="50"/>
      <c r="P4" s="50"/>
      <c r="Q4" s="50"/>
      <c r="R4" s="50"/>
      <c r="S4" s="50"/>
      <c r="T4" s="50"/>
      <c r="U4" s="50"/>
      <c r="V4" s="50"/>
      <c r="W4" s="50"/>
      <c r="X4" s="290"/>
      <c r="Y4" s="50"/>
      <c r="Z4" s="50"/>
      <c r="AA4" s="50"/>
      <c r="AB4" s="50"/>
      <c r="AC4" s="50"/>
      <c r="AD4" s="50"/>
      <c r="AE4" s="50"/>
      <c r="AF4" s="50"/>
      <c r="AG4" s="50"/>
      <c r="AH4" s="50"/>
      <c r="AI4" s="50"/>
      <c r="AJ4" s="50"/>
      <c r="AK4" s="50"/>
      <c r="AL4" s="50"/>
      <c r="AM4" s="50"/>
      <c r="AN4" s="50"/>
      <c r="AO4" s="50"/>
      <c r="AP4" s="50"/>
      <c r="AQ4" s="50"/>
      <c r="AR4" s="50"/>
      <c r="AS4" s="50"/>
      <c r="AT4" s="50"/>
      <c r="AU4" s="50"/>
      <c r="AV4" s="290"/>
    </row>
    <row r="5" spans="1:82" ht="15" customHeight="1">
      <c r="A5" s="160" t="s">
        <v>1115</v>
      </c>
      <c r="B5" s="291"/>
      <c r="C5" s="291"/>
      <c r="D5" s="291"/>
      <c r="E5" s="291"/>
      <c r="F5" s="291"/>
      <c r="G5" s="291"/>
      <c r="H5" s="291"/>
      <c r="I5" s="291"/>
      <c r="J5" s="291"/>
      <c r="K5" s="291"/>
      <c r="L5" s="291"/>
      <c r="M5" s="291"/>
      <c r="N5" s="291"/>
      <c r="O5" s="291"/>
      <c r="P5" s="291"/>
      <c r="Q5" s="291"/>
      <c r="R5" s="291"/>
      <c r="S5" s="291"/>
      <c r="T5" s="291"/>
      <c r="U5" s="291"/>
      <c r="V5" s="291"/>
      <c r="W5" s="291"/>
      <c r="X5" s="292"/>
      <c r="Y5" s="160"/>
      <c r="Z5" s="291"/>
      <c r="AA5" s="291"/>
      <c r="AB5" s="291"/>
      <c r="AC5" s="291"/>
      <c r="AD5" s="291"/>
      <c r="AE5" s="291"/>
      <c r="AF5" s="291"/>
      <c r="AG5" s="291"/>
      <c r="AH5" s="291"/>
      <c r="AI5" s="291"/>
      <c r="AJ5" s="291"/>
      <c r="AK5" s="291"/>
      <c r="AL5" s="291"/>
      <c r="AM5" s="291"/>
      <c r="AN5" s="291"/>
      <c r="AO5" s="291"/>
      <c r="AP5" s="291"/>
      <c r="AQ5" s="291"/>
      <c r="AR5" s="291"/>
      <c r="AS5" s="291"/>
      <c r="AT5" s="291"/>
      <c r="AU5" s="291"/>
      <c r="AV5" s="292"/>
    </row>
    <row r="6" spans="1:82" ht="15" customHeight="1">
      <c r="A6" s="457"/>
      <c r="B6" s="350"/>
      <c r="X6" s="292"/>
      <c r="Y6" s="160"/>
      <c r="Z6" s="291"/>
      <c r="AA6" s="291"/>
      <c r="AB6" s="291"/>
      <c r="AC6" s="291"/>
      <c r="AD6" s="291"/>
      <c r="AE6" s="291"/>
      <c r="AF6" s="291"/>
      <c r="AG6" s="291"/>
      <c r="AH6" s="291"/>
      <c r="AI6" s="291"/>
      <c r="AJ6" s="291"/>
      <c r="AK6" s="291"/>
      <c r="AL6" s="291"/>
      <c r="AM6" s="291"/>
      <c r="AN6" s="291"/>
      <c r="AO6" s="291"/>
      <c r="AP6" s="291"/>
      <c r="AQ6" s="291"/>
      <c r="AR6" s="291"/>
      <c r="AS6" s="291"/>
      <c r="AT6" s="291"/>
      <c r="AU6" s="291"/>
      <c r="AV6" s="292"/>
      <c r="CD6" t="s">
        <v>1147</v>
      </c>
    </row>
    <row r="7" spans="1:82" ht="15" customHeight="1">
      <c r="A7" s="160"/>
      <c r="B7" s="291" t="s">
        <v>446</v>
      </c>
      <c r="C7" s="291"/>
      <c r="D7" s="291"/>
      <c r="E7" s="291"/>
      <c r="F7" s="291"/>
      <c r="G7" s="291"/>
      <c r="H7" s="291"/>
      <c r="I7" s="291"/>
      <c r="J7" s="291"/>
      <c r="K7" s="291"/>
      <c r="L7" s="291"/>
      <c r="M7" s="291"/>
      <c r="N7" s="291"/>
      <c r="O7" s="291"/>
      <c r="P7" s="291"/>
      <c r="Q7" s="291"/>
      <c r="R7" s="291"/>
      <c r="S7" s="291"/>
      <c r="T7" s="291"/>
      <c r="U7" s="291"/>
      <c r="V7" s="291"/>
      <c r="W7" s="291"/>
      <c r="X7" s="292"/>
      <c r="Y7" s="160"/>
      <c r="Z7" s="291"/>
      <c r="AA7" s="291"/>
      <c r="AB7" s="291"/>
      <c r="AC7" s="291"/>
      <c r="AD7" s="291"/>
      <c r="AE7" s="291"/>
      <c r="AF7" s="291"/>
      <c r="AG7" s="291"/>
      <c r="AH7" s="291"/>
      <c r="AI7" s="291"/>
      <c r="AJ7" s="291"/>
      <c r="AK7" s="291"/>
      <c r="AL7" s="291"/>
      <c r="AM7" s="291"/>
      <c r="AN7" s="291"/>
      <c r="AO7" s="291"/>
      <c r="AP7" s="291"/>
      <c r="AQ7" s="291"/>
      <c r="AR7" s="291"/>
      <c r="AS7" s="291"/>
      <c r="AT7" s="291"/>
      <c r="AU7" s="291"/>
      <c r="AV7" s="292"/>
    </row>
    <row r="8" spans="1:82" ht="15" customHeight="1">
      <c r="A8" s="160"/>
      <c r="B8" s="291"/>
      <c r="C8" s="291" t="s">
        <v>1116</v>
      </c>
      <c r="D8" s="291"/>
      <c r="E8" s="291"/>
      <c r="F8" s="291"/>
      <c r="G8" s="291"/>
      <c r="H8" s="291"/>
      <c r="I8" s="291"/>
      <c r="J8" s="291"/>
      <c r="K8" s="291"/>
      <c r="L8" s="291"/>
      <c r="M8" s="291"/>
      <c r="N8" s="291"/>
      <c r="O8" s="291"/>
      <c r="P8" s="291"/>
      <c r="Q8" s="291" t="s">
        <v>1107</v>
      </c>
      <c r="R8" s="291"/>
      <c r="S8" s="291"/>
      <c r="T8" s="291"/>
      <c r="U8" s="291"/>
      <c r="V8" s="291"/>
      <c r="W8" s="291"/>
      <c r="X8" s="292"/>
      <c r="Y8" s="160"/>
      <c r="Z8" s="291"/>
      <c r="AA8" s="291"/>
      <c r="AB8" s="291"/>
      <c r="AC8" s="291"/>
      <c r="AD8" s="291"/>
      <c r="AE8" s="291"/>
      <c r="AF8" s="291"/>
      <c r="AG8" s="291"/>
      <c r="AH8" s="291"/>
      <c r="AI8" s="291"/>
      <c r="AJ8" s="291"/>
      <c r="AK8" s="291"/>
      <c r="AL8" s="291"/>
      <c r="AM8" s="291"/>
      <c r="AN8" s="291"/>
      <c r="AO8" s="291"/>
      <c r="AP8" s="291"/>
      <c r="AQ8" s="291"/>
      <c r="AR8" s="291"/>
      <c r="AS8" s="291"/>
      <c r="AT8" s="97"/>
      <c r="AU8" s="291"/>
      <c r="AV8" s="292"/>
      <c r="CD8" t="s">
        <v>1147</v>
      </c>
    </row>
    <row r="9" spans="1:82" ht="15" customHeight="1">
      <c r="A9" s="160"/>
      <c r="C9" s="291" t="s">
        <v>1094</v>
      </c>
      <c r="E9" s="291"/>
      <c r="F9" s="291"/>
      <c r="G9" s="291"/>
      <c r="H9" s="291"/>
      <c r="I9" s="291"/>
      <c r="J9" s="291"/>
      <c r="K9" s="291" t="s">
        <v>1108</v>
      </c>
      <c r="L9" s="291"/>
      <c r="M9" s="291"/>
      <c r="N9" s="291"/>
      <c r="O9" s="291"/>
      <c r="P9" s="291"/>
      <c r="R9" s="291"/>
      <c r="S9" s="291"/>
      <c r="T9" s="291"/>
      <c r="U9" s="291"/>
      <c r="V9" s="291"/>
      <c r="W9" s="291"/>
      <c r="X9" s="292"/>
      <c r="Y9" s="160"/>
      <c r="Z9" s="291"/>
      <c r="AA9" s="291"/>
      <c r="AB9" s="291"/>
      <c r="AC9" s="291"/>
      <c r="AD9" s="291"/>
      <c r="AE9" s="291"/>
      <c r="AF9" s="291"/>
      <c r="AG9" s="291"/>
      <c r="AH9" s="291"/>
      <c r="AI9" s="291"/>
      <c r="AJ9" s="291"/>
      <c r="AK9" s="291"/>
      <c r="AL9" s="291"/>
      <c r="AM9" s="291"/>
      <c r="AN9" s="291"/>
      <c r="AO9" s="291"/>
      <c r="AP9" s="291"/>
      <c r="AQ9" s="291"/>
      <c r="AR9" s="291"/>
      <c r="AS9" s="291"/>
      <c r="AT9" s="291"/>
      <c r="AU9" s="291"/>
      <c r="AV9" s="292"/>
    </row>
    <row r="10" spans="1:82" ht="15" customHeight="1">
      <c r="A10" s="160"/>
      <c r="B10" s="291"/>
      <c r="C10" s="291"/>
      <c r="D10" s="291" t="s">
        <v>1095</v>
      </c>
      <c r="E10" s="291"/>
      <c r="F10" s="291"/>
      <c r="G10" s="291"/>
      <c r="H10" s="291"/>
      <c r="I10" s="291"/>
      <c r="J10" s="291"/>
      <c r="K10" s="291"/>
      <c r="L10" s="291"/>
      <c r="M10" s="291"/>
      <c r="N10" s="291"/>
      <c r="O10" s="291"/>
      <c r="P10" s="291"/>
      <c r="Q10" s="291"/>
      <c r="R10" s="291"/>
      <c r="S10" s="291"/>
      <c r="T10" s="291"/>
      <c r="U10" s="291"/>
      <c r="V10" s="291"/>
      <c r="W10" s="291"/>
      <c r="X10" s="292"/>
      <c r="Y10" s="160"/>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2"/>
      <c r="CD10" t="s">
        <v>1148</v>
      </c>
    </row>
    <row r="11" spans="1:82" ht="15" customHeight="1">
      <c r="A11" s="160"/>
      <c r="B11" s="291"/>
      <c r="C11" s="291"/>
      <c r="D11" s="291"/>
      <c r="E11" s="291"/>
      <c r="F11" s="291"/>
      <c r="G11" s="291"/>
      <c r="H11" s="291"/>
      <c r="I11" s="291"/>
      <c r="J11" s="291"/>
      <c r="K11" s="291"/>
      <c r="L11" s="291"/>
      <c r="M11" s="291"/>
      <c r="N11" s="291"/>
      <c r="O11" s="291"/>
      <c r="P11" s="291"/>
      <c r="Q11" s="291"/>
      <c r="R11" s="291"/>
      <c r="S11" s="291"/>
      <c r="T11" s="291"/>
      <c r="U11" s="291"/>
      <c r="V11" s="291"/>
      <c r="W11" s="291"/>
      <c r="X11" s="292"/>
      <c r="Y11" s="160"/>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2"/>
    </row>
    <row r="12" spans="1:82" ht="15" customHeight="1">
      <c r="A12" s="160"/>
      <c r="B12" s="291"/>
      <c r="C12" s="291" t="s">
        <v>1096</v>
      </c>
      <c r="E12" s="291"/>
      <c r="F12" s="291"/>
      <c r="G12" s="291"/>
      <c r="H12" s="291"/>
      <c r="I12" s="291"/>
      <c r="J12" s="291"/>
      <c r="K12" s="291" t="s">
        <v>451</v>
      </c>
      <c r="L12" s="291"/>
      <c r="M12" s="291"/>
      <c r="N12" s="291"/>
      <c r="O12" s="291"/>
      <c r="P12" s="291"/>
      <c r="Q12" s="291"/>
      <c r="R12" s="291"/>
      <c r="S12" s="291"/>
      <c r="T12" s="291"/>
      <c r="U12" s="291"/>
      <c r="V12" s="291"/>
      <c r="W12" s="291"/>
      <c r="X12" s="292"/>
      <c r="Y12" s="160"/>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2"/>
    </row>
    <row r="13" spans="1:82" ht="15" customHeight="1">
      <c r="A13" s="160"/>
      <c r="B13" s="291"/>
      <c r="C13" s="291"/>
      <c r="D13" s="291" t="s">
        <v>1097</v>
      </c>
      <c r="E13" s="291"/>
      <c r="F13" s="291"/>
      <c r="G13" s="291"/>
      <c r="H13" s="291"/>
      <c r="I13" s="291"/>
      <c r="J13" s="291"/>
      <c r="R13" s="291"/>
      <c r="S13" s="291"/>
      <c r="T13" s="291"/>
      <c r="U13" s="291"/>
      <c r="V13" s="291"/>
      <c r="W13" s="291"/>
      <c r="X13" s="292"/>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2"/>
    </row>
    <row r="14" spans="1:82" ht="15" customHeight="1">
      <c r="A14" s="160"/>
      <c r="B14" s="291"/>
      <c r="C14" s="291"/>
      <c r="D14" s="291"/>
      <c r="E14" s="291"/>
      <c r="F14" s="291"/>
      <c r="G14" s="291"/>
      <c r="H14" s="291"/>
      <c r="I14" s="291"/>
      <c r="J14" s="291"/>
      <c r="K14" s="291"/>
      <c r="L14" s="291"/>
      <c r="M14" s="291"/>
      <c r="N14" s="291"/>
      <c r="O14" s="291"/>
      <c r="P14" s="291"/>
      <c r="Q14" s="291"/>
      <c r="R14" s="291"/>
      <c r="S14" s="291"/>
      <c r="T14" s="291"/>
      <c r="U14" s="291"/>
      <c r="V14" s="291"/>
      <c r="W14" s="291"/>
      <c r="X14" s="292"/>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2"/>
    </row>
    <row r="15" spans="1:82" ht="15" customHeight="1">
      <c r="A15" s="160"/>
      <c r="B15" s="291"/>
      <c r="C15" s="291" t="s">
        <v>1117</v>
      </c>
      <c r="D15" s="291"/>
      <c r="E15" s="291"/>
      <c r="F15" s="291"/>
      <c r="G15" s="291"/>
      <c r="H15" s="291"/>
      <c r="I15" s="291"/>
      <c r="J15" s="291"/>
      <c r="K15" s="291" t="s">
        <v>451</v>
      </c>
      <c r="L15" s="291"/>
      <c r="M15" s="291"/>
      <c r="N15" s="291"/>
      <c r="O15" s="291"/>
      <c r="P15" s="291"/>
      <c r="Q15" s="291"/>
      <c r="R15" s="291"/>
      <c r="S15" s="291"/>
      <c r="T15" s="291"/>
      <c r="U15" s="291"/>
      <c r="V15" s="291"/>
      <c r="W15" s="291"/>
      <c r="X15" s="292"/>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2"/>
    </row>
    <row r="16" spans="1:82" ht="15" customHeight="1">
      <c r="A16" s="160"/>
      <c r="B16" s="291"/>
      <c r="C16" s="291"/>
      <c r="D16" s="291" t="s">
        <v>1112</v>
      </c>
      <c r="E16" s="291"/>
      <c r="F16" s="291"/>
      <c r="G16" s="291"/>
      <c r="H16" s="291"/>
      <c r="I16" s="291"/>
      <c r="J16" s="291"/>
      <c r="K16" s="291"/>
      <c r="L16" s="291"/>
      <c r="M16" s="291"/>
      <c r="N16" s="291"/>
      <c r="O16" s="291"/>
      <c r="P16" s="291"/>
      <c r="Q16" s="291"/>
      <c r="R16" s="291"/>
      <c r="S16" s="291"/>
      <c r="T16" s="291"/>
      <c r="U16" s="291"/>
      <c r="V16" s="291"/>
      <c r="W16" s="291"/>
      <c r="X16" s="292"/>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2"/>
    </row>
    <row r="17" spans="1:48" ht="15" customHeight="1">
      <c r="A17" s="160"/>
      <c r="X17" s="292"/>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2"/>
    </row>
    <row r="18" spans="1:48" ht="15" customHeight="1">
      <c r="A18" s="160"/>
      <c r="C18" s="291" t="s">
        <v>1125</v>
      </c>
      <c r="D18" s="291"/>
      <c r="E18" s="291"/>
      <c r="F18" s="291"/>
      <c r="G18" s="291"/>
      <c r="H18" s="291"/>
      <c r="I18" s="291"/>
      <c r="J18" s="291"/>
      <c r="K18" s="291" t="s">
        <v>451</v>
      </c>
      <c r="L18" s="291"/>
      <c r="M18" s="291"/>
      <c r="N18" s="291"/>
      <c r="O18" s="291"/>
      <c r="P18" s="291"/>
      <c r="Q18" s="291"/>
      <c r="R18" s="291"/>
      <c r="S18" s="291"/>
      <c r="T18" s="291"/>
      <c r="U18" s="291"/>
      <c r="V18" s="291"/>
      <c r="X18" s="292"/>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2"/>
    </row>
    <row r="19" spans="1:48" ht="15" customHeight="1">
      <c r="A19" s="160"/>
      <c r="C19" s="291"/>
      <c r="D19" s="291"/>
      <c r="E19" s="291"/>
      <c r="F19" s="291"/>
      <c r="G19" s="291"/>
      <c r="H19" s="291"/>
      <c r="I19" s="291"/>
      <c r="J19" s="291"/>
      <c r="K19" s="291"/>
      <c r="L19" s="291"/>
      <c r="M19" s="291"/>
      <c r="N19" s="291"/>
      <c r="O19" s="291"/>
      <c r="P19" s="291"/>
      <c r="Q19" s="291"/>
      <c r="R19" s="291"/>
      <c r="S19" s="291"/>
      <c r="T19" s="291"/>
      <c r="U19" s="291"/>
      <c r="V19" s="291"/>
      <c r="X19" s="292"/>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2"/>
    </row>
    <row r="20" spans="1:48" ht="15" customHeight="1">
      <c r="A20" s="160"/>
      <c r="X20" s="292"/>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2"/>
    </row>
    <row r="21" spans="1:48" ht="15" customHeight="1">
      <c r="A21" s="160"/>
      <c r="C21" s="291"/>
      <c r="D21" s="291"/>
      <c r="E21" s="291"/>
      <c r="F21" s="291"/>
      <c r="G21" s="291"/>
      <c r="H21" s="291"/>
      <c r="I21" s="291"/>
      <c r="J21" s="291"/>
      <c r="K21" s="291"/>
      <c r="L21" s="291"/>
      <c r="M21" s="291"/>
      <c r="N21" s="291"/>
      <c r="O21" s="291"/>
      <c r="P21" s="291"/>
      <c r="Q21" s="291"/>
      <c r="R21" s="291"/>
      <c r="X21" s="292"/>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2"/>
    </row>
    <row r="22" spans="1:48" ht="15" customHeight="1">
      <c r="A22" s="160"/>
      <c r="C22" s="291"/>
      <c r="D22" s="291"/>
      <c r="E22" s="291"/>
      <c r="F22" s="291"/>
      <c r="G22" s="291"/>
      <c r="H22" s="291"/>
      <c r="I22" s="291"/>
      <c r="J22" s="291"/>
      <c r="K22" s="291"/>
      <c r="L22" s="291"/>
      <c r="M22" s="291"/>
      <c r="N22" s="291"/>
      <c r="O22" s="291"/>
      <c r="P22" s="291"/>
      <c r="Q22" s="291"/>
      <c r="R22" s="291"/>
      <c r="X22" s="292"/>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2"/>
    </row>
    <row r="23" spans="1:48" ht="15" customHeight="1">
      <c r="A23" s="160"/>
      <c r="X23" s="292"/>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2"/>
    </row>
    <row r="24" spans="1:48" ht="15" customHeight="1">
      <c r="A24" s="160"/>
      <c r="C24" s="291"/>
      <c r="D24" s="291"/>
      <c r="E24" s="291"/>
      <c r="F24" s="291"/>
      <c r="G24" s="291"/>
      <c r="H24" s="291"/>
      <c r="I24" s="291"/>
      <c r="J24" s="291"/>
      <c r="K24" s="291"/>
      <c r="L24" s="291"/>
      <c r="M24" s="291"/>
      <c r="N24" s="291"/>
      <c r="O24" s="291"/>
      <c r="P24" s="291"/>
      <c r="Q24" s="291"/>
      <c r="R24" s="291"/>
      <c r="X24" s="292"/>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2"/>
    </row>
    <row r="25" spans="1:48" ht="15" customHeight="1">
      <c r="A25" s="160"/>
      <c r="C25" s="291"/>
      <c r="D25" s="291"/>
      <c r="E25" s="291"/>
      <c r="F25" s="291"/>
      <c r="G25" s="291"/>
      <c r="H25" s="291"/>
      <c r="I25" s="291"/>
      <c r="J25" s="291"/>
      <c r="K25" s="291"/>
      <c r="L25" s="291"/>
      <c r="M25" s="291"/>
      <c r="N25" s="291"/>
      <c r="O25" s="291"/>
      <c r="P25" s="291"/>
      <c r="Q25" s="291"/>
      <c r="R25" s="291"/>
      <c r="X25" s="292"/>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2"/>
    </row>
    <row r="26" spans="1:48" ht="15" customHeight="1">
      <c r="A26" s="160"/>
      <c r="X26" s="292"/>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2"/>
    </row>
    <row r="27" spans="1:48" ht="15" customHeight="1">
      <c r="A27" s="160"/>
      <c r="C27" s="291"/>
      <c r="D27" s="291"/>
      <c r="E27" s="291"/>
      <c r="F27" s="291"/>
      <c r="G27" s="291"/>
      <c r="H27" s="291"/>
      <c r="I27" s="291"/>
      <c r="J27" s="291"/>
      <c r="K27" s="291"/>
      <c r="L27" s="291"/>
      <c r="M27" s="291"/>
      <c r="N27" s="291"/>
      <c r="O27" s="291"/>
      <c r="P27" s="291"/>
      <c r="Q27" s="291"/>
      <c r="R27" s="291"/>
      <c r="X27" s="292"/>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2"/>
    </row>
    <row r="28" spans="1:48" ht="15" customHeight="1">
      <c r="A28" s="160"/>
      <c r="C28" s="291"/>
      <c r="D28" s="291"/>
      <c r="E28" s="291"/>
      <c r="F28" s="291"/>
      <c r="G28" s="291"/>
      <c r="H28" s="291"/>
      <c r="I28" s="291"/>
      <c r="J28" s="291"/>
      <c r="K28" s="291"/>
      <c r="L28" s="291"/>
      <c r="M28" s="291"/>
      <c r="N28" s="291"/>
      <c r="O28" s="291"/>
      <c r="P28" s="291"/>
      <c r="Q28" s="291"/>
      <c r="R28" s="291"/>
      <c r="X28" s="292"/>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2"/>
    </row>
    <row r="29" spans="1:48" ht="15" customHeight="1">
      <c r="A29" s="160"/>
      <c r="B29" s="291"/>
      <c r="C29" s="291"/>
      <c r="D29" s="291"/>
      <c r="E29" s="291"/>
      <c r="F29" s="291"/>
      <c r="G29" s="291"/>
      <c r="H29" s="291"/>
      <c r="I29" s="291"/>
      <c r="J29" s="291"/>
      <c r="K29" s="291"/>
      <c r="L29" s="291"/>
      <c r="M29" s="291"/>
      <c r="N29" s="291"/>
      <c r="O29" s="291"/>
      <c r="P29" s="291"/>
      <c r="Q29" s="291"/>
      <c r="R29" s="291"/>
      <c r="S29" s="291"/>
      <c r="T29" s="291"/>
      <c r="U29" s="291"/>
      <c r="V29" s="291"/>
      <c r="W29" s="291"/>
      <c r="X29" s="292"/>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2"/>
    </row>
    <row r="30" spans="1:48" ht="15" customHeight="1">
      <c r="A30" s="160"/>
      <c r="B30" s="291"/>
      <c r="C30" s="291"/>
      <c r="D30" s="291"/>
      <c r="E30" s="291"/>
      <c r="F30" s="291"/>
      <c r="G30" s="291"/>
      <c r="H30" s="291"/>
      <c r="I30" s="291"/>
      <c r="J30" s="291"/>
      <c r="K30" s="291"/>
      <c r="L30" s="291"/>
      <c r="M30" s="291"/>
      <c r="N30" s="291"/>
      <c r="O30" s="291"/>
      <c r="P30" s="291"/>
      <c r="Q30" s="291"/>
      <c r="R30" s="291"/>
      <c r="S30" s="291"/>
      <c r="T30" s="291"/>
      <c r="U30" s="291"/>
      <c r="V30" s="291"/>
      <c r="W30" s="291"/>
      <c r="X30" s="292"/>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2"/>
    </row>
    <row r="31" spans="1:48" ht="15" customHeight="1">
      <c r="A31" s="160"/>
      <c r="C31" s="291"/>
      <c r="D31" s="291"/>
      <c r="E31" s="291"/>
      <c r="F31" s="291"/>
      <c r="G31" s="291"/>
      <c r="H31" s="291"/>
      <c r="I31" s="291"/>
      <c r="J31" s="291"/>
      <c r="K31" s="291"/>
      <c r="L31" s="291"/>
      <c r="M31" s="291"/>
      <c r="N31" s="291"/>
      <c r="O31" s="291"/>
      <c r="P31" s="291"/>
      <c r="Q31" s="291"/>
      <c r="R31" s="291"/>
      <c r="S31" s="291"/>
      <c r="T31" s="291"/>
      <c r="U31" s="291"/>
      <c r="V31" s="291"/>
      <c r="W31" s="291"/>
      <c r="X31" s="292"/>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2"/>
    </row>
    <row r="32" spans="1:48" ht="15" customHeight="1">
      <c r="A32" s="160"/>
      <c r="B32" s="291"/>
      <c r="C32" s="291"/>
      <c r="D32" s="291"/>
      <c r="E32" s="291"/>
      <c r="F32" s="291"/>
      <c r="G32" s="291"/>
      <c r="H32" s="291"/>
      <c r="I32" s="291"/>
      <c r="J32" s="291"/>
      <c r="K32" s="291"/>
      <c r="L32" s="291"/>
      <c r="M32" s="291"/>
      <c r="N32" s="291"/>
      <c r="O32" s="291"/>
      <c r="P32" s="291"/>
      <c r="Q32" s="291"/>
      <c r="R32" s="291"/>
      <c r="S32" s="291"/>
      <c r="T32" s="291"/>
      <c r="U32" s="291"/>
      <c r="V32" s="291"/>
      <c r="W32" s="291"/>
      <c r="X32" s="292"/>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2"/>
    </row>
    <row r="33" spans="1:48" ht="15" customHeight="1">
      <c r="A33" s="160"/>
      <c r="B33" s="291"/>
      <c r="C33" s="291"/>
      <c r="E33" s="291"/>
      <c r="F33" s="291"/>
      <c r="G33" s="291"/>
      <c r="H33" s="291"/>
      <c r="I33" s="291"/>
      <c r="J33" s="291"/>
      <c r="K33" s="291"/>
      <c r="L33" s="291"/>
      <c r="M33" s="291"/>
      <c r="N33" s="291"/>
      <c r="O33" s="291"/>
      <c r="P33" s="291"/>
      <c r="Q33" s="291"/>
      <c r="R33" s="291"/>
      <c r="S33" s="291"/>
      <c r="T33" s="291"/>
      <c r="U33" s="291"/>
      <c r="V33" s="291"/>
      <c r="W33" s="291"/>
      <c r="X33" s="292"/>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2"/>
    </row>
    <row r="34" spans="1:48" ht="15" customHeight="1">
      <c r="A34" s="160"/>
      <c r="B34" s="291"/>
      <c r="C34" s="291"/>
      <c r="D34" s="291"/>
      <c r="E34" s="291"/>
      <c r="F34" s="291"/>
      <c r="G34" s="291"/>
      <c r="H34" s="291"/>
      <c r="I34" s="291"/>
      <c r="J34" s="291"/>
      <c r="K34" s="291"/>
      <c r="L34" s="291"/>
      <c r="M34" s="291"/>
      <c r="N34" s="291"/>
      <c r="O34" s="291"/>
      <c r="P34" s="291"/>
      <c r="Q34" s="291"/>
      <c r="R34" s="291"/>
      <c r="S34" s="291"/>
      <c r="T34" s="291"/>
      <c r="U34" s="291"/>
      <c r="V34" s="291"/>
      <c r="W34" s="291"/>
      <c r="X34" s="292"/>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2"/>
    </row>
    <row r="35" spans="1:48" ht="15" customHeight="1">
      <c r="A35" s="160"/>
      <c r="B35" s="291"/>
      <c r="C35" s="291"/>
      <c r="D35" s="291"/>
      <c r="E35" s="291"/>
      <c r="F35" s="291"/>
      <c r="G35" s="291"/>
      <c r="H35" s="291"/>
      <c r="I35" s="291"/>
      <c r="J35" s="291"/>
      <c r="K35" s="291"/>
      <c r="L35" s="291"/>
      <c r="M35" s="291"/>
      <c r="N35" s="291"/>
      <c r="O35" s="291"/>
      <c r="P35" s="291"/>
      <c r="Q35" s="291"/>
      <c r="R35" s="291"/>
      <c r="S35" s="291"/>
      <c r="T35" s="291"/>
      <c r="U35" s="291"/>
      <c r="V35" s="291"/>
      <c r="W35" s="291"/>
      <c r="X35" s="292"/>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2"/>
    </row>
    <row r="36" spans="1:48" ht="15" customHeight="1">
      <c r="A36" s="160"/>
      <c r="B36" s="291"/>
      <c r="C36" s="291"/>
      <c r="E36" s="291"/>
      <c r="F36" s="291"/>
      <c r="G36" s="291"/>
      <c r="H36" s="291"/>
      <c r="I36" s="291"/>
      <c r="J36" s="291"/>
      <c r="K36" s="291"/>
      <c r="L36" s="291"/>
      <c r="M36" s="291"/>
      <c r="N36" s="291"/>
      <c r="O36" s="291"/>
      <c r="P36" s="291"/>
      <c r="Q36" s="291"/>
      <c r="R36" s="291"/>
      <c r="S36" s="291"/>
      <c r="T36" s="291"/>
      <c r="U36" s="291"/>
      <c r="V36" s="291"/>
      <c r="W36" s="291"/>
      <c r="X36" s="292"/>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2"/>
    </row>
    <row r="37" spans="1:48" ht="15" customHeight="1">
      <c r="A37" s="160"/>
      <c r="B37" s="291"/>
      <c r="C37" s="291"/>
      <c r="D37" s="291"/>
      <c r="E37" s="291"/>
      <c r="F37" s="291"/>
      <c r="G37" s="291"/>
      <c r="H37" s="291"/>
      <c r="I37" s="291"/>
      <c r="J37" s="291"/>
      <c r="R37" s="291"/>
      <c r="S37" s="291"/>
      <c r="T37" s="291"/>
      <c r="U37" s="291"/>
      <c r="V37" s="291"/>
      <c r="W37" s="291"/>
      <c r="X37" s="292"/>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2"/>
    </row>
    <row r="38" spans="1:48" ht="15" customHeight="1">
      <c r="A38" s="160"/>
      <c r="B38" s="291"/>
      <c r="C38" s="291"/>
      <c r="D38" s="291"/>
      <c r="E38" s="291"/>
      <c r="F38" s="291"/>
      <c r="G38" s="291"/>
      <c r="H38" s="291"/>
      <c r="I38" s="291"/>
      <c r="J38" s="291"/>
      <c r="K38" s="291"/>
      <c r="L38" s="291"/>
      <c r="M38" s="291"/>
      <c r="N38" s="291"/>
      <c r="O38" s="291"/>
      <c r="P38" s="291"/>
      <c r="Q38" s="291"/>
      <c r="R38" s="291"/>
      <c r="S38" s="291"/>
      <c r="T38" s="291"/>
      <c r="U38" s="291"/>
      <c r="V38" s="291"/>
      <c r="W38" s="291"/>
      <c r="X38" s="292"/>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2"/>
    </row>
    <row r="39" spans="1:48" ht="15" customHeight="1">
      <c r="A39" s="160"/>
      <c r="C39" s="291"/>
      <c r="D39" s="291"/>
      <c r="E39" s="291"/>
      <c r="F39" s="291"/>
      <c r="G39" s="291"/>
      <c r="H39" s="291"/>
      <c r="I39" s="291"/>
      <c r="J39" s="291"/>
      <c r="K39" s="291"/>
      <c r="L39" s="291"/>
      <c r="M39" s="291"/>
      <c r="N39" s="291"/>
      <c r="O39" s="291"/>
      <c r="P39" s="291"/>
      <c r="Q39" s="291"/>
      <c r="R39" s="291"/>
      <c r="S39" s="291"/>
      <c r="T39" s="291"/>
      <c r="X39" s="292"/>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2"/>
    </row>
    <row r="40" spans="1:48" ht="15" customHeight="1">
      <c r="A40" s="160"/>
      <c r="C40" s="291"/>
      <c r="D40" s="291"/>
      <c r="E40" s="291"/>
      <c r="F40" s="291"/>
      <c r="G40" s="291"/>
      <c r="H40" s="291"/>
      <c r="I40" s="291"/>
      <c r="J40" s="291"/>
      <c r="K40" s="291"/>
      <c r="L40" s="291"/>
      <c r="M40" s="291"/>
      <c r="N40" s="291"/>
      <c r="O40" s="291"/>
      <c r="P40" s="291"/>
      <c r="Q40" s="291"/>
      <c r="R40" s="291"/>
      <c r="S40" s="291"/>
      <c r="T40" s="291"/>
      <c r="X40" s="292"/>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2"/>
    </row>
    <row r="41" spans="1:48" ht="15" customHeight="1">
      <c r="A41" s="160"/>
      <c r="X41" s="292"/>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2"/>
    </row>
    <row r="42" spans="1:48" ht="15" customHeight="1">
      <c r="A42" s="160"/>
      <c r="C42" s="291"/>
      <c r="D42" s="291"/>
      <c r="E42" s="291"/>
      <c r="F42" s="291"/>
      <c r="G42" s="291"/>
      <c r="H42" s="291"/>
      <c r="I42" s="291"/>
      <c r="J42" s="291"/>
      <c r="K42" s="291"/>
      <c r="L42" s="291"/>
      <c r="M42" s="291"/>
      <c r="N42" s="291"/>
      <c r="O42" s="291"/>
      <c r="P42" s="291"/>
      <c r="Q42" s="291"/>
      <c r="R42" s="291"/>
      <c r="S42" s="291"/>
      <c r="T42" s="291"/>
      <c r="V42" s="291"/>
      <c r="W42" s="291"/>
      <c r="X42" s="292"/>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2"/>
    </row>
    <row r="43" spans="1:48" ht="15" customHeight="1">
      <c r="A43" s="160"/>
      <c r="C43" s="291"/>
      <c r="D43" s="291"/>
      <c r="E43" s="291"/>
      <c r="F43" s="291"/>
      <c r="G43" s="291"/>
      <c r="H43" s="291"/>
      <c r="I43" s="291"/>
      <c r="J43" s="291"/>
      <c r="K43" s="291"/>
      <c r="L43" s="291"/>
      <c r="M43" s="291"/>
      <c r="N43" s="291"/>
      <c r="O43" s="291"/>
      <c r="P43" s="291"/>
      <c r="Q43" s="291"/>
      <c r="R43" s="291"/>
      <c r="S43" s="291"/>
      <c r="T43" s="291"/>
      <c r="V43" s="291"/>
      <c r="W43" s="291"/>
      <c r="X43" s="292"/>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2"/>
    </row>
    <row r="44" spans="1:48" ht="15" customHeight="1">
      <c r="A44" s="160"/>
      <c r="L44" s="489"/>
      <c r="V44" s="291"/>
      <c r="W44" s="291"/>
      <c r="X44" s="292"/>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2"/>
    </row>
    <row r="45" spans="1:48" ht="15" customHeight="1">
      <c r="A45" s="160"/>
      <c r="C45" s="291"/>
      <c r="D45" s="291"/>
      <c r="E45" s="291"/>
      <c r="F45" s="291"/>
      <c r="G45" s="291"/>
      <c r="H45" s="291"/>
      <c r="I45" s="291"/>
      <c r="J45" s="291"/>
      <c r="K45" s="291"/>
      <c r="L45" s="291"/>
      <c r="M45" s="291"/>
      <c r="N45" s="291"/>
      <c r="O45" s="291"/>
      <c r="P45" s="291"/>
      <c r="Q45" s="291"/>
      <c r="R45" s="291"/>
      <c r="S45" s="291"/>
      <c r="T45" s="291"/>
      <c r="V45" s="291"/>
      <c r="W45" s="291"/>
      <c r="X45" s="292"/>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2"/>
    </row>
    <row r="46" spans="1:48" ht="15" customHeight="1">
      <c r="A46" s="160"/>
      <c r="C46" s="291"/>
      <c r="D46" s="291"/>
      <c r="E46" s="291"/>
      <c r="F46" s="291"/>
      <c r="G46" s="291"/>
      <c r="H46" s="291"/>
      <c r="I46" s="291"/>
      <c r="J46" s="291"/>
      <c r="K46" s="291"/>
      <c r="L46" s="291"/>
      <c r="M46" s="291"/>
      <c r="N46" s="291"/>
      <c r="O46" s="291"/>
      <c r="P46" s="291"/>
      <c r="Q46" s="291"/>
      <c r="R46" s="291"/>
      <c r="S46" s="291"/>
      <c r="T46" s="291"/>
      <c r="V46" s="291"/>
      <c r="W46" s="291"/>
      <c r="X46" s="292"/>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2"/>
    </row>
    <row r="47" spans="1:48" ht="15" customHeight="1">
      <c r="A47" s="160"/>
      <c r="V47" s="291"/>
      <c r="W47" s="291"/>
      <c r="X47" s="292"/>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2"/>
    </row>
    <row r="48" spans="1:48" ht="15" customHeight="1">
      <c r="A48" s="160"/>
      <c r="C48" s="291"/>
      <c r="D48" s="291"/>
      <c r="E48" s="291"/>
      <c r="F48" s="291"/>
      <c r="G48" s="291"/>
      <c r="H48" s="291"/>
      <c r="I48" s="291"/>
      <c r="J48" s="291"/>
      <c r="K48" s="291"/>
      <c r="L48" s="291"/>
      <c r="M48" s="291"/>
      <c r="N48" s="291"/>
      <c r="O48" s="291"/>
      <c r="P48" s="291"/>
      <c r="Q48" s="291"/>
      <c r="R48" s="291"/>
      <c r="S48" s="291"/>
      <c r="T48" s="291"/>
      <c r="V48" s="291"/>
      <c r="W48" s="291"/>
      <c r="X48" s="292"/>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2"/>
    </row>
    <row r="49" spans="1:48" ht="15" customHeight="1">
      <c r="A49" s="160"/>
      <c r="C49" s="291"/>
      <c r="D49" s="291"/>
      <c r="E49" s="291"/>
      <c r="F49" s="291"/>
      <c r="G49" s="291"/>
      <c r="H49" s="291"/>
      <c r="I49" s="291"/>
      <c r="J49" s="291"/>
      <c r="K49" s="291"/>
      <c r="L49" s="291"/>
      <c r="M49" s="291"/>
      <c r="N49" s="291"/>
      <c r="O49" s="291"/>
      <c r="P49" s="291"/>
      <c r="Q49" s="291"/>
      <c r="R49" s="291"/>
      <c r="S49" s="291"/>
      <c r="T49" s="291"/>
      <c r="V49" s="291"/>
      <c r="W49" s="291"/>
      <c r="X49" s="292"/>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2"/>
    </row>
    <row r="50" spans="1:48" ht="15" customHeight="1">
      <c r="A50" s="160"/>
      <c r="V50" s="291"/>
      <c r="W50" s="291"/>
      <c r="X50" s="292"/>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2"/>
    </row>
    <row r="51" spans="1:48" ht="15" customHeight="1">
      <c r="A51" s="160"/>
      <c r="C51" s="291"/>
      <c r="D51" s="291"/>
      <c r="E51" s="291"/>
      <c r="F51" s="291"/>
      <c r="G51" s="291"/>
      <c r="H51" s="291"/>
      <c r="I51" s="291"/>
      <c r="J51" s="291"/>
      <c r="K51" s="291"/>
      <c r="L51" s="291"/>
      <c r="M51" s="291"/>
      <c r="N51" s="291"/>
      <c r="O51" s="291"/>
      <c r="P51" s="291"/>
      <c r="Q51" s="291"/>
      <c r="R51" s="291"/>
      <c r="S51" s="291"/>
      <c r="T51" s="291"/>
      <c r="V51" s="291"/>
      <c r="W51" s="291"/>
      <c r="X51" s="292"/>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2"/>
    </row>
    <row r="52" spans="1:48" ht="15" customHeight="1">
      <c r="A52" s="160"/>
      <c r="C52" s="291"/>
      <c r="D52" s="291"/>
      <c r="E52" s="291"/>
      <c r="F52" s="291"/>
      <c r="G52" s="291"/>
      <c r="H52" s="291"/>
      <c r="I52" s="291"/>
      <c r="J52" s="291"/>
      <c r="K52" s="291"/>
      <c r="L52" s="291"/>
      <c r="M52" s="291"/>
      <c r="N52" s="291"/>
      <c r="O52" s="291"/>
      <c r="P52" s="291"/>
      <c r="Q52" s="291"/>
      <c r="R52" s="291"/>
      <c r="S52" s="291"/>
      <c r="T52" s="291"/>
      <c r="V52" s="291"/>
      <c r="W52" s="291"/>
      <c r="X52" s="292"/>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2"/>
    </row>
    <row r="53" spans="1:48" ht="15" customHeight="1">
      <c r="A53" s="160"/>
      <c r="V53" s="291"/>
      <c r="W53" s="291"/>
      <c r="X53" s="292"/>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2"/>
    </row>
    <row r="54" spans="1:48" ht="15" customHeight="1">
      <c r="A54" s="160"/>
      <c r="C54" s="291"/>
      <c r="D54" s="291"/>
      <c r="E54" s="291"/>
      <c r="F54" s="291"/>
      <c r="G54" s="291"/>
      <c r="H54" s="291"/>
      <c r="I54" s="291"/>
      <c r="J54" s="291"/>
      <c r="K54" s="291"/>
      <c r="L54" s="291"/>
      <c r="M54" s="291"/>
      <c r="N54" s="291"/>
      <c r="O54" s="291"/>
      <c r="P54" s="291"/>
      <c r="Q54" s="291"/>
      <c r="R54" s="291"/>
      <c r="V54" s="291"/>
      <c r="W54" s="291"/>
      <c r="X54" s="292"/>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2"/>
    </row>
    <row r="55" spans="1:48" ht="15" customHeight="1">
      <c r="A55" s="119"/>
      <c r="C55" s="291"/>
      <c r="D55" s="291"/>
      <c r="E55" s="291"/>
      <c r="F55" s="291"/>
      <c r="G55" s="291"/>
      <c r="H55" s="291"/>
      <c r="I55" s="291"/>
      <c r="J55" s="291"/>
      <c r="K55" s="291"/>
      <c r="L55" s="291"/>
      <c r="M55" s="291"/>
      <c r="N55" s="291"/>
      <c r="O55" s="291"/>
      <c r="P55" s="291"/>
      <c r="Q55" s="291"/>
      <c r="R55" s="291"/>
      <c r="V55" s="291"/>
      <c r="W55" s="291"/>
      <c r="X55" s="292"/>
      <c r="Y55" s="291"/>
      <c r="Z55" s="291"/>
      <c r="AA55" s="291"/>
      <c r="AB55" s="291"/>
      <c r="AC55" s="291"/>
      <c r="AD55" s="291"/>
      <c r="AE55" s="291"/>
      <c r="AF55" s="291"/>
      <c r="AG55" s="291"/>
      <c r="AH55" s="291"/>
      <c r="AI55" s="291"/>
      <c r="AJ55" s="291"/>
      <c r="AK55" s="291"/>
      <c r="AL55" s="291"/>
      <c r="AM55" s="291"/>
      <c r="AN55" s="291"/>
      <c r="AO55" s="291"/>
      <c r="AP55" s="291"/>
      <c r="AQ55" s="291"/>
      <c r="AR55" s="291"/>
      <c r="AS55" s="291"/>
      <c r="AT55" s="291"/>
      <c r="AU55" s="291"/>
      <c r="AV55" s="292"/>
    </row>
    <row r="56" spans="1:48" ht="15" customHeight="1">
      <c r="A56" s="119"/>
      <c r="W56" s="291"/>
      <c r="X56" s="292"/>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2"/>
    </row>
    <row r="57" spans="1:48" ht="15" customHeight="1">
      <c r="A57" s="160"/>
      <c r="C57" s="291"/>
      <c r="D57" s="291"/>
      <c r="E57" s="291"/>
      <c r="F57" s="291"/>
      <c r="G57" s="291"/>
      <c r="H57" s="291"/>
      <c r="I57" s="291"/>
      <c r="J57" s="291"/>
      <c r="K57" s="291"/>
      <c r="L57" s="291"/>
      <c r="M57" s="291"/>
      <c r="N57" s="291"/>
      <c r="O57" s="291"/>
      <c r="P57" s="291"/>
      <c r="Q57" s="291"/>
      <c r="R57" s="291"/>
      <c r="W57" s="291"/>
      <c r="X57" s="292"/>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2"/>
    </row>
    <row r="58" spans="1:48" ht="15" customHeight="1">
      <c r="A58" s="160"/>
      <c r="C58" s="291"/>
      <c r="D58" s="291"/>
      <c r="E58" s="291"/>
      <c r="F58" s="291"/>
      <c r="G58" s="291"/>
      <c r="H58" s="291"/>
      <c r="I58" s="291"/>
      <c r="J58" s="291"/>
      <c r="K58" s="291"/>
      <c r="L58" s="291"/>
      <c r="M58" s="291"/>
      <c r="N58" s="291"/>
      <c r="O58" s="291"/>
      <c r="P58" s="291"/>
      <c r="Q58" s="291"/>
      <c r="R58" s="291"/>
      <c r="W58" s="291"/>
      <c r="X58" s="292"/>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2"/>
    </row>
    <row r="59" spans="1:48" ht="15" customHeight="1">
      <c r="A59" s="160"/>
      <c r="W59" s="291"/>
      <c r="X59" s="292"/>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2"/>
    </row>
    <row r="60" spans="1:48" ht="15" customHeight="1">
      <c r="A60" s="160"/>
      <c r="C60" s="291"/>
      <c r="D60" s="291"/>
      <c r="E60" s="291"/>
      <c r="F60" s="291"/>
      <c r="G60" s="291"/>
      <c r="H60" s="291"/>
      <c r="I60" s="291"/>
      <c r="J60" s="291"/>
      <c r="K60" s="291"/>
      <c r="L60" s="291"/>
      <c r="M60" s="291"/>
      <c r="N60" s="291"/>
      <c r="O60" s="291"/>
      <c r="P60" s="291"/>
      <c r="Q60" s="291"/>
      <c r="W60" s="291"/>
      <c r="X60" s="292"/>
      <c r="Y60" s="291"/>
      <c r="Z60" s="291"/>
      <c r="AA60" s="291"/>
      <c r="AB60" s="291"/>
      <c r="AC60" s="291"/>
      <c r="AD60" s="291"/>
      <c r="AE60" s="291"/>
      <c r="AF60" s="291"/>
      <c r="AG60" s="291"/>
      <c r="AH60" s="291"/>
      <c r="AI60" s="291"/>
      <c r="AJ60" s="291"/>
      <c r="AK60" s="291"/>
      <c r="AL60" s="291"/>
      <c r="AM60" s="291"/>
      <c r="AN60" s="291"/>
      <c r="AO60" s="291"/>
      <c r="AP60" s="291"/>
      <c r="AQ60" s="291"/>
      <c r="AR60" s="291"/>
      <c r="AS60" s="291"/>
      <c r="AT60" s="291"/>
      <c r="AU60" s="291"/>
      <c r="AV60" s="292"/>
    </row>
    <row r="61" spans="1:48" ht="15" customHeight="1">
      <c r="A61" s="160"/>
      <c r="C61" s="291"/>
      <c r="D61" s="291"/>
      <c r="E61" s="291"/>
      <c r="F61" s="291"/>
      <c r="G61" s="291"/>
      <c r="H61" s="291"/>
      <c r="I61" s="291"/>
      <c r="J61" s="291"/>
      <c r="K61" s="291"/>
      <c r="L61" s="291"/>
      <c r="M61" s="291"/>
      <c r="N61" s="291"/>
      <c r="O61" s="291"/>
      <c r="P61" s="291"/>
      <c r="Q61" s="291"/>
      <c r="W61" s="293"/>
      <c r="X61" s="292"/>
      <c r="Y61" s="291"/>
      <c r="Z61" s="291"/>
      <c r="AA61" s="291"/>
      <c r="AB61" s="291"/>
      <c r="AC61" s="291"/>
      <c r="AD61" s="291"/>
      <c r="AE61" s="291"/>
      <c r="AF61" s="291"/>
      <c r="AG61" s="291"/>
      <c r="AH61" s="291"/>
      <c r="AI61" s="291"/>
      <c r="AJ61" s="291"/>
      <c r="AK61" s="291"/>
      <c r="AL61" s="291"/>
      <c r="AM61" s="291"/>
      <c r="AN61" s="291"/>
      <c r="AO61" s="291"/>
      <c r="AP61" s="291"/>
      <c r="AQ61" s="291"/>
      <c r="AR61" s="291"/>
      <c r="AS61" s="291"/>
      <c r="AT61" s="291"/>
      <c r="AU61" s="291"/>
      <c r="AV61" s="292"/>
    </row>
    <row r="62" spans="1:48" ht="15" customHeight="1">
      <c r="A62" s="160"/>
      <c r="U62" s="291"/>
      <c r="W62" s="291"/>
      <c r="X62" s="292"/>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2"/>
    </row>
    <row r="63" spans="1:48" ht="15" customHeight="1">
      <c r="A63" s="457"/>
      <c r="C63" s="291"/>
      <c r="D63" s="291"/>
      <c r="E63" s="291"/>
      <c r="F63" s="291"/>
      <c r="G63" s="291"/>
      <c r="H63" s="291"/>
      <c r="I63" s="291"/>
      <c r="J63" s="291"/>
      <c r="K63" s="291"/>
      <c r="L63" s="291"/>
      <c r="M63" s="291"/>
      <c r="N63" s="291"/>
      <c r="O63" s="291"/>
      <c r="P63" s="291"/>
      <c r="Q63" s="291"/>
      <c r="U63" s="291"/>
      <c r="V63" s="291"/>
      <c r="W63" s="291"/>
      <c r="X63" s="292"/>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2"/>
    </row>
    <row r="64" spans="1:48" ht="15" customHeight="1">
      <c r="A64" s="160"/>
      <c r="C64" s="291"/>
      <c r="D64" s="291"/>
      <c r="E64" s="291"/>
      <c r="F64" s="291"/>
      <c r="G64" s="291"/>
      <c r="H64" s="291"/>
      <c r="I64" s="291"/>
      <c r="J64" s="291"/>
      <c r="K64" s="291"/>
      <c r="L64" s="291"/>
      <c r="M64" s="291"/>
      <c r="N64" s="291"/>
      <c r="O64" s="291"/>
      <c r="P64" s="291"/>
      <c r="Q64" s="291"/>
      <c r="U64" s="291"/>
      <c r="V64" s="291"/>
      <c r="W64" s="291"/>
      <c r="X64" s="292"/>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2"/>
    </row>
    <row r="65" spans="1:48" ht="15" customHeight="1">
      <c r="A65" s="160"/>
      <c r="U65" s="291"/>
      <c r="V65" s="291"/>
      <c r="W65" s="291"/>
      <c r="X65" s="292"/>
      <c r="Y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2"/>
    </row>
    <row r="66" spans="1:48" ht="15" customHeight="1">
      <c r="A66" s="160"/>
      <c r="C66" s="291"/>
      <c r="D66" s="291"/>
      <c r="E66" s="291"/>
      <c r="F66" s="291"/>
      <c r="G66" s="291"/>
      <c r="H66" s="291"/>
      <c r="I66" s="291"/>
      <c r="J66" s="291"/>
      <c r="K66" s="291"/>
      <c r="L66" s="291"/>
      <c r="M66" s="291"/>
      <c r="N66" s="291"/>
      <c r="O66" s="291"/>
      <c r="P66" s="291"/>
      <c r="Q66" s="291"/>
      <c r="U66" s="291"/>
      <c r="V66" s="291"/>
      <c r="W66" s="291"/>
      <c r="X66" s="292"/>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2"/>
    </row>
    <row r="67" spans="1:48" ht="15" customHeight="1">
      <c r="A67" s="160"/>
      <c r="C67" s="291"/>
      <c r="D67" s="291"/>
      <c r="E67" s="291"/>
      <c r="F67" s="291"/>
      <c r="G67" s="291"/>
      <c r="H67" s="291"/>
      <c r="I67" s="291"/>
      <c r="J67" s="291"/>
      <c r="K67" s="291"/>
      <c r="L67" s="291"/>
      <c r="M67" s="291"/>
      <c r="N67" s="291"/>
      <c r="O67" s="291"/>
      <c r="P67" s="291"/>
      <c r="Q67" s="291"/>
      <c r="U67" s="291"/>
      <c r="V67" s="291"/>
      <c r="W67" s="291"/>
      <c r="X67" s="292"/>
      <c r="Y67" s="291"/>
      <c r="Z67" s="291"/>
      <c r="AA67" s="291"/>
      <c r="AB67" s="291"/>
      <c r="AC67" s="291"/>
      <c r="AD67" s="291"/>
      <c r="AE67" s="291"/>
      <c r="AF67" s="291"/>
      <c r="AG67" s="291"/>
      <c r="AH67" s="291"/>
      <c r="AI67" s="291"/>
      <c r="AJ67" s="291"/>
      <c r="AK67" s="291"/>
      <c r="AL67" s="291"/>
      <c r="AM67" s="291"/>
      <c r="AN67" s="291"/>
      <c r="AO67" s="291"/>
      <c r="AP67" s="291"/>
      <c r="AQ67" s="291"/>
      <c r="AR67" s="291"/>
      <c r="AS67" s="291"/>
      <c r="AT67" s="291"/>
      <c r="AU67" s="291"/>
      <c r="AV67" s="292"/>
    </row>
    <row r="68" spans="1:48" ht="15" customHeight="1">
      <c r="A68" s="160"/>
      <c r="U68" s="291"/>
      <c r="V68" s="291"/>
      <c r="W68" s="291"/>
      <c r="X68" s="292"/>
      <c r="Y68" s="291"/>
      <c r="Z68" s="291"/>
      <c r="AA68" s="291"/>
      <c r="AB68" s="291"/>
      <c r="AC68" s="291"/>
      <c r="AD68" s="291"/>
      <c r="AE68" s="291"/>
      <c r="AF68" s="291"/>
      <c r="AG68" s="291"/>
      <c r="AH68" s="291"/>
      <c r="AI68" s="291"/>
      <c r="AJ68" s="291"/>
      <c r="AK68" s="291"/>
      <c r="AL68" s="291"/>
      <c r="AM68" s="291"/>
      <c r="AN68" s="291"/>
      <c r="AO68" s="291"/>
      <c r="AP68" s="291"/>
      <c r="AQ68" s="291"/>
      <c r="AR68" s="291"/>
      <c r="AS68" s="291"/>
      <c r="AT68" s="291"/>
      <c r="AU68" s="291"/>
      <c r="AV68" s="292"/>
    </row>
    <row r="69" spans="1:48" ht="15" customHeight="1">
      <c r="A69" s="160"/>
      <c r="C69" s="291"/>
      <c r="D69" s="291"/>
      <c r="E69" s="291"/>
      <c r="F69" s="291"/>
      <c r="G69" s="291"/>
      <c r="H69" s="291"/>
      <c r="I69" s="291"/>
      <c r="J69" s="291"/>
      <c r="K69" s="291"/>
      <c r="L69" s="291"/>
      <c r="M69" s="291"/>
      <c r="N69" s="291"/>
      <c r="O69" s="291"/>
      <c r="P69" s="291"/>
      <c r="Q69" s="291"/>
      <c r="U69" s="291"/>
      <c r="V69" s="291"/>
      <c r="W69" s="291"/>
      <c r="X69" s="292"/>
      <c r="Y69" s="291"/>
      <c r="Z69" s="291"/>
      <c r="AA69" s="291"/>
      <c r="AB69" s="291"/>
      <c r="AC69" s="291"/>
      <c r="AD69" s="291"/>
      <c r="AE69" s="291"/>
      <c r="AF69" s="291"/>
      <c r="AG69" s="291"/>
      <c r="AH69" s="291"/>
      <c r="AI69" s="291"/>
      <c r="AJ69" s="291"/>
      <c r="AK69" s="291"/>
      <c r="AL69" s="291"/>
      <c r="AM69" s="291"/>
      <c r="AN69" s="291"/>
      <c r="AO69" s="291"/>
      <c r="AP69" s="291"/>
      <c r="AQ69" s="291"/>
      <c r="AR69" s="291"/>
      <c r="AS69" s="291"/>
      <c r="AT69" s="291"/>
      <c r="AU69" s="291"/>
      <c r="AV69" s="292"/>
    </row>
    <row r="70" spans="1:48" ht="15" customHeight="1">
      <c r="A70" s="160"/>
      <c r="C70" s="291"/>
      <c r="D70" s="291"/>
      <c r="E70" s="291"/>
      <c r="F70" s="291"/>
      <c r="G70" s="291"/>
      <c r="H70" s="291"/>
      <c r="I70" s="291"/>
      <c r="J70" s="291"/>
      <c r="K70" s="291"/>
      <c r="L70" s="291"/>
      <c r="M70" s="291"/>
      <c r="N70" s="291"/>
      <c r="O70" s="291"/>
      <c r="P70" s="291"/>
      <c r="Q70" s="291"/>
      <c r="U70" s="291"/>
      <c r="V70" s="291"/>
      <c r="W70" s="291"/>
      <c r="X70" s="292"/>
      <c r="Y70" s="291"/>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291"/>
      <c r="AV70" s="292"/>
    </row>
    <row r="71" spans="1:48" ht="15" customHeight="1">
      <c r="A71" s="160"/>
      <c r="U71" s="291"/>
      <c r="V71" s="291"/>
      <c r="W71" s="291"/>
      <c r="X71" s="292"/>
      <c r="Y71" s="291"/>
      <c r="Z71" s="291"/>
      <c r="AA71" s="291"/>
      <c r="AB71" s="291"/>
      <c r="AC71" s="291"/>
      <c r="AD71" s="291"/>
      <c r="AE71" s="291"/>
      <c r="AF71" s="291"/>
      <c r="AG71" s="291"/>
      <c r="AH71" s="291"/>
      <c r="AI71" s="291"/>
      <c r="AJ71" s="291"/>
      <c r="AK71" s="291"/>
      <c r="AL71" s="291"/>
      <c r="AM71" s="291"/>
      <c r="AN71" s="291"/>
      <c r="AO71" s="291"/>
      <c r="AP71" s="291"/>
      <c r="AQ71" s="291"/>
      <c r="AR71" s="291"/>
      <c r="AS71" s="291"/>
      <c r="AT71" s="291"/>
      <c r="AU71" s="291"/>
      <c r="AV71" s="292"/>
    </row>
    <row r="72" spans="1:48" ht="15" customHeight="1">
      <c r="A72" s="160"/>
      <c r="C72" s="291"/>
      <c r="D72" s="291"/>
      <c r="E72" s="291"/>
      <c r="F72" s="291"/>
      <c r="G72" s="291"/>
      <c r="H72" s="291"/>
      <c r="I72" s="291"/>
      <c r="J72" s="291"/>
      <c r="K72" s="291"/>
      <c r="L72" s="291"/>
      <c r="M72" s="291"/>
      <c r="N72" s="291"/>
      <c r="O72" s="291"/>
      <c r="P72" s="291"/>
      <c r="Q72" s="291"/>
      <c r="R72" s="291"/>
      <c r="U72" s="291"/>
      <c r="V72" s="291"/>
      <c r="W72" s="291"/>
      <c r="X72" s="292"/>
      <c r="Y72" s="291"/>
      <c r="Z72" s="291"/>
      <c r="AA72" s="291"/>
      <c r="AB72" s="291"/>
      <c r="AC72" s="291"/>
      <c r="AD72" s="291"/>
      <c r="AE72" s="291"/>
      <c r="AF72" s="291"/>
      <c r="AG72" s="291"/>
      <c r="AH72" s="291"/>
      <c r="AI72" s="291"/>
      <c r="AJ72" s="291"/>
      <c r="AK72" s="291"/>
      <c r="AL72" s="291"/>
      <c r="AM72" s="291"/>
      <c r="AN72" s="291"/>
      <c r="AO72" s="291"/>
      <c r="AP72" s="291"/>
      <c r="AQ72" s="291"/>
      <c r="AR72" s="291"/>
      <c r="AS72" s="291"/>
      <c r="AT72" s="291"/>
      <c r="AU72" s="291"/>
      <c r="AV72" s="292"/>
    </row>
    <row r="73" spans="1:48" ht="15" customHeight="1">
      <c r="A73" s="160"/>
      <c r="C73" s="291"/>
      <c r="D73" s="291"/>
      <c r="E73" s="291"/>
      <c r="F73" s="291"/>
      <c r="G73" s="291"/>
      <c r="H73" s="291"/>
      <c r="I73" s="291"/>
      <c r="J73" s="291"/>
      <c r="K73" s="291"/>
      <c r="L73" s="291"/>
      <c r="M73" s="291"/>
      <c r="N73" s="291"/>
      <c r="O73" s="291"/>
      <c r="P73" s="291"/>
      <c r="Q73" s="291"/>
      <c r="R73" s="291"/>
      <c r="U73" s="291"/>
      <c r="V73" s="291"/>
      <c r="W73" s="291"/>
      <c r="X73" s="292"/>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2"/>
    </row>
    <row r="74" spans="1:48" ht="15" customHeight="1">
      <c r="A74" s="160"/>
      <c r="U74" s="291"/>
      <c r="V74" s="291"/>
      <c r="W74" s="291"/>
      <c r="X74" s="292"/>
      <c r="Y74" s="291"/>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2"/>
    </row>
    <row r="75" spans="1:48" ht="15" customHeight="1">
      <c r="A75" s="160"/>
      <c r="C75" s="291"/>
      <c r="D75" s="291"/>
      <c r="E75" s="291"/>
      <c r="F75" s="291"/>
      <c r="G75" s="291"/>
      <c r="H75" s="291"/>
      <c r="I75" s="291"/>
      <c r="J75" s="291"/>
      <c r="K75" s="291"/>
      <c r="L75" s="291"/>
      <c r="M75" s="291"/>
      <c r="N75" s="291"/>
      <c r="O75" s="291"/>
      <c r="P75" s="291"/>
      <c r="Q75" s="291"/>
      <c r="R75" s="291"/>
      <c r="T75" s="291"/>
      <c r="W75" s="291"/>
      <c r="X75" s="292"/>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2"/>
    </row>
    <row r="76" spans="1:48" ht="15" customHeight="1">
      <c r="A76" s="160"/>
      <c r="C76" s="291"/>
      <c r="D76" s="291"/>
      <c r="E76" s="291"/>
      <c r="F76" s="291"/>
      <c r="G76" s="291"/>
      <c r="H76" s="291"/>
      <c r="I76" s="291"/>
      <c r="J76" s="291"/>
      <c r="K76" s="291"/>
      <c r="L76" s="291"/>
      <c r="M76" s="291"/>
      <c r="N76" s="291"/>
      <c r="O76" s="291"/>
      <c r="P76" s="291"/>
      <c r="Q76" s="291"/>
      <c r="R76" s="291"/>
      <c r="T76" s="291"/>
      <c r="W76" s="291"/>
      <c r="X76" s="292"/>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2"/>
    </row>
    <row r="77" spans="1:48" ht="15" customHeight="1">
      <c r="A77" s="160"/>
      <c r="B77" s="291"/>
      <c r="C77" s="291"/>
      <c r="D77" s="291"/>
      <c r="E77" s="291"/>
      <c r="F77" s="291"/>
      <c r="G77" s="291"/>
      <c r="H77" s="291"/>
      <c r="I77" s="291"/>
      <c r="J77" s="291"/>
      <c r="K77" s="291"/>
      <c r="L77" s="291"/>
      <c r="M77" s="291"/>
      <c r="N77" s="291"/>
      <c r="O77" s="291"/>
      <c r="P77" s="291"/>
      <c r="Q77" s="291"/>
      <c r="R77" s="291"/>
      <c r="S77" s="291"/>
      <c r="T77" s="291"/>
      <c r="U77" s="291"/>
      <c r="V77" s="291"/>
      <c r="W77" s="291"/>
      <c r="X77" s="292"/>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2"/>
    </row>
    <row r="78" spans="1:48" ht="15" customHeight="1">
      <c r="A78" s="160"/>
      <c r="B78" s="291"/>
      <c r="C78" s="291"/>
      <c r="D78" s="291"/>
      <c r="E78" s="291"/>
      <c r="F78" s="291"/>
      <c r="G78" s="291"/>
      <c r="H78" s="291"/>
      <c r="I78" s="291"/>
      <c r="J78" s="291"/>
      <c r="K78" s="291"/>
      <c r="L78" s="291"/>
      <c r="M78" s="291"/>
      <c r="N78" s="291"/>
      <c r="O78" s="291"/>
      <c r="P78" s="291"/>
      <c r="Q78" s="291"/>
      <c r="R78" s="291"/>
      <c r="S78" s="291"/>
      <c r="T78" s="291"/>
      <c r="U78" s="291"/>
      <c r="V78" s="291"/>
      <c r="W78" s="291"/>
      <c r="X78" s="292"/>
      <c r="Y78" s="291"/>
      <c r="Z78" s="291"/>
      <c r="AA78" s="291"/>
      <c r="AB78" s="291"/>
      <c r="AC78" s="291"/>
      <c r="AD78" s="291"/>
      <c r="AE78" s="291"/>
      <c r="AF78" s="291"/>
      <c r="AG78" s="291"/>
      <c r="AH78" s="291"/>
      <c r="AI78" s="291"/>
      <c r="AJ78" s="291"/>
      <c r="AK78" s="291"/>
      <c r="AL78" s="291"/>
      <c r="AM78" s="291"/>
      <c r="AN78" s="291"/>
      <c r="AO78" s="291"/>
      <c r="AP78" s="291"/>
      <c r="AQ78" s="291"/>
      <c r="AR78" s="291"/>
      <c r="AS78" s="291"/>
      <c r="AT78" s="291"/>
      <c r="AU78" s="291"/>
      <c r="AV78" s="292"/>
    </row>
    <row r="79" spans="1:48" ht="15" customHeight="1">
      <c r="A79" s="161"/>
      <c r="B79" s="294"/>
      <c r="C79" s="294"/>
      <c r="D79" s="294"/>
      <c r="E79" s="294"/>
      <c r="F79" s="294"/>
      <c r="G79" s="294"/>
      <c r="H79" s="294"/>
      <c r="I79" s="294"/>
      <c r="J79" s="294"/>
      <c r="K79" s="294"/>
      <c r="L79" s="294"/>
      <c r="M79" s="294"/>
      <c r="N79" s="294"/>
      <c r="O79" s="294"/>
      <c r="P79" s="294"/>
      <c r="Q79" s="294"/>
      <c r="R79" s="294"/>
      <c r="S79" s="294"/>
      <c r="T79" s="294"/>
      <c r="U79" s="294"/>
      <c r="V79" s="294"/>
      <c r="W79" s="294"/>
      <c r="X79" s="295"/>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5"/>
    </row>
  </sheetData>
  <mergeCells count="2">
    <mergeCell ref="A2:X3"/>
    <mergeCell ref="Y2:AV3"/>
  </mergeCells>
  <phoneticPr fontId="3"/>
  <printOptions horizontalCentered="1"/>
  <pageMargins left="0.78740157480314965" right="0.39370078740157483" top="0.59055118110236227" bottom="0.59055118110236227" header="0.31496062992125984" footer="0.11811023622047245"/>
  <pageSetup paperSize="9"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2:BU65"/>
  <sheetViews>
    <sheetView showGridLines="0" showZeros="0" view="pageBreakPreview" topLeftCell="A49" zoomScale="85" zoomScaleNormal="85" zoomScaleSheetLayoutView="85" workbookViewId="0">
      <selection activeCell="K5" sqref="K5"/>
    </sheetView>
  </sheetViews>
  <sheetFormatPr defaultRowHeight="18.75"/>
  <cols>
    <col min="1" max="3" width="12.625" customWidth="1"/>
    <col min="4" max="4" width="23.625" customWidth="1"/>
    <col min="5" max="5" width="9.375" bestFit="1" customWidth="1"/>
    <col min="6" max="6" width="5.625" customWidth="1"/>
    <col min="7" max="8" width="12.625" customWidth="1"/>
    <col min="9" max="9" width="20.625" customWidth="1"/>
  </cols>
  <sheetData>
    <row r="2" spans="1:73">
      <c r="A2" s="16"/>
      <c r="B2" s="17"/>
      <c r="C2" s="545" t="s">
        <v>111</v>
      </c>
      <c r="D2" s="546"/>
      <c r="E2" s="546"/>
      <c r="F2" s="546"/>
      <c r="G2" s="546"/>
      <c r="H2" s="546"/>
      <c r="I2" s="18"/>
    </row>
    <row r="3" spans="1:73">
      <c r="A3" s="19"/>
      <c r="B3" s="20"/>
      <c r="C3" s="547"/>
      <c r="D3" s="547"/>
      <c r="E3" s="547"/>
      <c r="F3" s="547"/>
      <c r="G3" s="547"/>
      <c r="H3" s="547"/>
      <c r="I3" s="103" t="s">
        <v>112</v>
      </c>
    </row>
    <row r="4" spans="1:73">
      <c r="A4" s="552" t="s">
        <v>113</v>
      </c>
      <c r="B4" s="552" t="s">
        <v>114</v>
      </c>
      <c r="C4" s="552" t="s">
        <v>115</v>
      </c>
      <c r="D4" s="552"/>
      <c r="E4" s="552" t="s">
        <v>2</v>
      </c>
      <c r="F4" s="552" t="s">
        <v>3</v>
      </c>
      <c r="G4" s="552" t="s">
        <v>6</v>
      </c>
      <c r="H4" s="552" t="s">
        <v>7</v>
      </c>
      <c r="I4" s="552" t="s">
        <v>8</v>
      </c>
    </row>
    <row r="5" spans="1:73" ht="19.5" thickBot="1">
      <c r="A5" s="660"/>
      <c r="B5" s="660"/>
      <c r="C5" s="660"/>
      <c r="D5" s="660"/>
      <c r="E5" s="660"/>
      <c r="F5" s="660"/>
      <c r="G5" s="660"/>
      <c r="H5" s="660"/>
      <c r="I5" s="660"/>
    </row>
    <row r="6" spans="1:73" ht="19.5" thickTop="1">
      <c r="A6" s="497" t="s">
        <v>297</v>
      </c>
      <c r="B6" s="497"/>
      <c r="C6" s="497"/>
      <c r="D6" s="497"/>
      <c r="E6" s="498"/>
      <c r="F6" s="498"/>
      <c r="G6" s="498"/>
      <c r="H6" s="498"/>
      <c r="I6" s="498"/>
      <c r="BU6" t="s">
        <v>1147</v>
      </c>
    </row>
    <row r="7" spans="1:73">
      <c r="A7" s="495"/>
      <c r="B7" s="495"/>
      <c r="C7" s="495"/>
      <c r="D7" s="495"/>
      <c r="E7" s="495"/>
      <c r="F7" s="495"/>
      <c r="G7" s="495"/>
      <c r="H7" s="495"/>
      <c r="I7" s="495"/>
    </row>
    <row r="8" spans="1:73">
      <c r="A8" s="499"/>
      <c r="B8" s="499" t="s">
        <v>116</v>
      </c>
      <c r="C8" s="499"/>
      <c r="D8" s="499"/>
      <c r="E8" s="492"/>
      <c r="F8" s="492"/>
      <c r="G8" s="492"/>
      <c r="H8" s="492"/>
      <c r="I8" s="492"/>
      <c r="AK8" s="97"/>
      <c r="BU8" t="s">
        <v>1147</v>
      </c>
    </row>
    <row r="9" spans="1:73">
      <c r="A9" s="495"/>
      <c r="B9" s="495"/>
      <c r="C9" s="495"/>
      <c r="D9" s="495"/>
      <c r="E9" s="495"/>
      <c r="F9" s="495"/>
      <c r="G9" s="495"/>
      <c r="H9" s="495"/>
      <c r="I9" s="495"/>
    </row>
    <row r="10" spans="1:73">
      <c r="A10" s="499"/>
      <c r="B10" s="499"/>
      <c r="C10" s="499" t="s">
        <v>10</v>
      </c>
      <c r="D10" s="499" t="s">
        <v>10</v>
      </c>
      <c r="E10" s="500">
        <v>1</v>
      </c>
      <c r="F10" s="501" t="s">
        <v>117</v>
      </c>
      <c r="G10" s="502"/>
      <c r="H10" s="503"/>
      <c r="I10" s="492" t="s">
        <v>196</v>
      </c>
    </row>
    <row r="11" spans="1:73">
      <c r="A11" s="495"/>
      <c r="B11" s="495"/>
      <c r="C11" s="495"/>
      <c r="D11" s="495"/>
      <c r="E11" s="504"/>
      <c r="F11" s="505"/>
      <c r="G11" s="506"/>
      <c r="H11" s="507"/>
      <c r="I11" s="495"/>
    </row>
    <row r="12" spans="1:73">
      <c r="A12" s="499"/>
      <c r="B12" s="499"/>
      <c r="C12" s="499"/>
      <c r="D12" s="508" t="s">
        <v>118</v>
      </c>
      <c r="E12" s="500">
        <v>1</v>
      </c>
      <c r="F12" s="501" t="s">
        <v>117</v>
      </c>
      <c r="G12" s="500"/>
      <c r="H12" s="503"/>
      <c r="I12" s="492"/>
    </row>
    <row r="13" spans="1:73">
      <c r="A13" s="495"/>
      <c r="B13" s="495"/>
      <c r="C13" s="495"/>
      <c r="D13" s="495"/>
      <c r="E13" s="504"/>
      <c r="F13" s="505"/>
      <c r="G13" s="509"/>
      <c r="H13" s="507"/>
      <c r="I13" s="495"/>
    </row>
    <row r="14" spans="1:73">
      <c r="A14" s="499"/>
      <c r="B14" s="499"/>
      <c r="C14" s="499"/>
      <c r="D14" s="499"/>
      <c r="E14" s="492"/>
      <c r="F14" s="492"/>
      <c r="G14" s="492"/>
      <c r="H14" s="492"/>
      <c r="I14" s="492"/>
    </row>
    <row r="15" spans="1:73">
      <c r="A15" s="495"/>
      <c r="B15" s="495"/>
      <c r="C15" s="495"/>
      <c r="D15" s="495"/>
      <c r="E15" s="495"/>
      <c r="F15" s="495"/>
      <c r="G15" s="495"/>
      <c r="H15" s="495"/>
      <c r="I15" s="495"/>
    </row>
    <row r="16" spans="1:73">
      <c r="A16" s="499"/>
      <c r="B16" s="499"/>
      <c r="C16" s="499" t="s">
        <v>120</v>
      </c>
      <c r="D16" s="499" t="s">
        <v>194</v>
      </c>
      <c r="E16" s="500">
        <v>1</v>
      </c>
      <c r="F16" s="501" t="s">
        <v>117</v>
      </c>
      <c r="G16" s="502"/>
      <c r="H16" s="503"/>
      <c r="I16" s="492" t="s">
        <v>197</v>
      </c>
    </row>
    <row r="17" spans="1:9">
      <c r="A17" s="495"/>
      <c r="B17" s="495"/>
      <c r="C17" s="495"/>
      <c r="D17" s="495" t="s">
        <v>21</v>
      </c>
      <c r="E17" s="504"/>
      <c r="F17" s="505"/>
      <c r="G17" s="506"/>
      <c r="H17" s="507"/>
      <c r="I17" s="495"/>
    </row>
    <row r="18" spans="1:9">
      <c r="A18" s="499"/>
      <c r="B18" s="499"/>
      <c r="C18" s="499"/>
      <c r="D18" s="499" t="s">
        <v>199</v>
      </c>
      <c r="E18" s="510">
        <v>140</v>
      </c>
      <c r="F18" s="501" t="s">
        <v>200</v>
      </c>
      <c r="G18" s="502"/>
      <c r="H18" s="503"/>
      <c r="I18" s="492"/>
    </row>
    <row r="19" spans="1:9">
      <c r="A19" s="495"/>
      <c r="B19" s="495"/>
      <c r="C19" s="495"/>
      <c r="D19" s="495"/>
      <c r="E19" s="511"/>
      <c r="F19" s="505"/>
      <c r="G19" s="506"/>
      <c r="H19" s="507"/>
      <c r="I19" s="493"/>
    </row>
    <row r="20" spans="1:9">
      <c r="A20" s="499"/>
      <c r="B20" s="499"/>
      <c r="C20" s="499"/>
      <c r="D20" s="508" t="s">
        <v>1158</v>
      </c>
      <c r="E20" s="500">
        <v>1</v>
      </c>
      <c r="F20" s="501" t="s">
        <v>117</v>
      </c>
      <c r="G20" s="500"/>
      <c r="H20" s="503"/>
      <c r="I20" s="492"/>
    </row>
    <row r="21" spans="1:9">
      <c r="A21" s="495"/>
      <c r="B21" s="495"/>
      <c r="C21" s="495"/>
      <c r="D21" s="495"/>
      <c r="E21" s="504"/>
      <c r="F21" s="505"/>
      <c r="G21" s="509"/>
      <c r="H21" s="507"/>
      <c r="I21" s="495"/>
    </row>
    <row r="22" spans="1:9">
      <c r="A22" s="499"/>
      <c r="B22" s="499"/>
      <c r="C22" s="499"/>
      <c r="D22" s="499" t="s">
        <v>202</v>
      </c>
      <c r="E22" s="500">
        <v>1</v>
      </c>
      <c r="F22" s="501" t="s">
        <v>117</v>
      </c>
      <c r="G22" s="502"/>
      <c r="H22" s="503"/>
      <c r="I22" s="492" t="s">
        <v>198</v>
      </c>
    </row>
    <row r="23" spans="1:9">
      <c r="A23" s="495"/>
      <c r="B23" s="495"/>
      <c r="C23" s="495"/>
      <c r="D23" s="495" t="s">
        <v>23</v>
      </c>
      <c r="E23" s="504"/>
      <c r="F23" s="505"/>
      <c r="G23" s="506"/>
      <c r="H23" s="507"/>
      <c r="I23" s="495"/>
    </row>
    <row r="24" spans="1:9">
      <c r="A24" s="499"/>
      <c r="B24" s="499"/>
      <c r="C24" s="499"/>
      <c r="D24" s="499" t="s">
        <v>202</v>
      </c>
      <c r="E24" s="500">
        <v>1</v>
      </c>
      <c r="F24" s="501" t="s">
        <v>117</v>
      </c>
      <c r="G24" s="502"/>
      <c r="H24" s="503"/>
      <c r="I24" s="492" t="s">
        <v>1149</v>
      </c>
    </row>
    <row r="25" spans="1:9">
      <c r="A25" s="495"/>
      <c r="B25" s="495"/>
      <c r="C25" s="495"/>
      <c r="D25" s="495" t="s">
        <v>29</v>
      </c>
      <c r="E25" s="507"/>
      <c r="F25" s="505"/>
      <c r="G25" s="506"/>
      <c r="H25" s="507"/>
      <c r="I25" s="495"/>
    </row>
    <row r="26" spans="1:9">
      <c r="A26" s="499"/>
      <c r="B26" s="499"/>
      <c r="C26" s="499"/>
      <c r="D26" s="508" t="s">
        <v>1159</v>
      </c>
      <c r="E26" s="500">
        <v>1</v>
      </c>
      <c r="F26" s="501" t="s">
        <v>117</v>
      </c>
      <c r="G26" s="500"/>
      <c r="H26" s="503"/>
      <c r="I26" s="497"/>
    </row>
    <row r="27" spans="1:9">
      <c r="A27" s="495"/>
      <c r="B27" s="495"/>
      <c r="C27" s="495"/>
      <c r="D27" s="495"/>
      <c r="E27" s="504"/>
      <c r="F27" s="505"/>
      <c r="G27" s="509"/>
      <c r="H27" s="507"/>
      <c r="I27" s="512"/>
    </row>
    <row r="28" spans="1:9">
      <c r="A28" s="499"/>
      <c r="B28" s="499"/>
      <c r="C28" s="499"/>
      <c r="D28" s="508" t="s">
        <v>118</v>
      </c>
      <c r="E28" s="500">
        <v>1</v>
      </c>
      <c r="F28" s="501" t="s">
        <v>117</v>
      </c>
      <c r="G28" s="500"/>
      <c r="H28" s="503"/>
      <c r="I28" s="492" t="s">
        <v>1153</v>
      </c>
    </row>
    <row r="29" spans="1:9">
      <c r="A29" s="495"/>
      <c r="B29" s="495"/>
      <c r="C29" s="495"/>
      <c r="D29" s="495"/>
      <c r="E29" s="504"/>
      <c r="F29" s="505"/>
      <c r="G29" s="509"/>
      <c r="H29" s="507"/>
      <c r="I29" s="495"/>
    </row>
    <row r="30" spans="1:9">
      <c r="A30" s="497"/>
      <c r="B30" s="497"/>
      <c r="C30" s="497"/>
      <c r="D30" s="497"/>
      <c r="E30" s="500"/>
      <c r="F30" s="501"/>
      <c r="G30" s="513"/>
      <c r="H30" s="513"/>
      <c r="I30" s="497"/>
    </row>
    <row r="31" spans="1:9">
      <c r="A31" s="497"/>
      <c r="B31" s="497"/>
      <c r="C31" s="497"/>
      <c r="D31" s="497"/>
      <c r="E31" s="507"/>
      <c r="F31" s="505"/>
      <c r="G31" s="513"/>
      <c r="H31" s="513"/>
      <c r="I31" s="497"/>
    </row>
    <row r="32" spans="1:9">
      <c r="A32" s="499"/>
      <c r="B32" s="499"/>
      <c r="C32" s="499" t="s">
        <v>121</v>
      </c>
      <c r="D32" s="499" t="s">
        <v>122</v>
      </c>
      <c r="E32" s="514">
        <v>68.760000000000005</v>
      </c>
      <c r="F32" s="492" t="s">
        <v>123</v>
      </c>
      <c r="G32" s="500"/>
      <c r="H32" s="515"/>
      <c r="I32" s="492"/>
    </row>
    <row r="33" spans="1:9">
      <c r="A33" s="495"/>
      <c r="B33" s="495"/>
      <c r="C33" s="495"/>
      <c r="D33" s="495"/>
      <c r="E33" s="511"/>
      <c r="F33" s="505"/>
      <c r="G33" s="509"/>
      <c r="H33" s="509"/>
      <c r="I33" s="494"/>
    </row>
    <row r="34" spans="1:9">
      <c r="A34" s="499"/>
      <c r="B34" s="499"/>
      <c r="C34" s="499"/>
      <c r="D34" s="508" t="s">
        <v>1157</v>
      </c>
      <c r="E34" s="500">
        <v>1</v>
      </c>
      <c r="F34" s="501" t="s">
        <v>117</v>
      </c>
      <c r="G34" s="500"/>
      <c r="H34" s="500"/>
      <c r="I34" s="492"/>
    </row>
    <row r="35" spans="1:9">
      <c r="A35" s="495"/>
      <c r="B35" s="495"/>
      <c r="C35" s="495"/>
      <c r="D35" s="495"/>
      <c r="E35" s="504"/>
      <c r="F35" s="505"/>
      <c r="G35" s="509"/>
      <c r="H35" s="509"/>
      <c r="I35" s="495"/>
    </row>
    <row r="36" spans="1:9">
      <c r="A36" s="499"/>
      <c r="B36" s="499"/>
      <c r="C36" s="499"/>
      <c r="D36" s="499" t="s">
        <v>127</v>
      </c>
      <c r="E36" s="514">
        <v>57.78</v>
      </c>
      <c r="F36" s="501" t="s">
        <v>128</v>
      </c>
      <c r="G36" s="500"/>
      <c r="H36" s="515"/>
      <c r="I36" s="492"/>
    </row>
    <row r="37" spans="1:9">
      <c r="A37" s="495"/>
      <c r="B37" s="495"/>
      <c r="C37" s="495"/>
      <c r="D37" s="495"/>
      <c r="E37" s="511"/>
      <c r="F37" s="505"/>
      <c r="G37" s="509"/>
      <c r="H37" s="507"/>
      <c r="I37" s="494"/>
    </row>
    <row r="38" spans="1:9">
      <c r="A38" s="499"/>
      <c r="B38" s="499"/>
      <c r="C38" s="499"/>
      <c r="D38" s="508" t="s">
        <v>1156</v>
      </c>
      <c r="E38" s="500">
        <v>1</v>
      </c>
      <c r="F38" s="501" t="s">
        <v>117</v>
      </c>
      <c r="G38" s="500"/>
      <c r="H38" s="500"/>
      <c r="I38" s="492"/>
    </row>
    <row r="39" spans="1:9">
      <c r="A39" s="495"/>
      <c r="B39" s="495"/>
      <c r="C39" s="495"/>
      <c r="D39" s="495"/>
      <c r="E39" s="504"/>
      <c r="F39" s="505"/>
      <c r="G39" s="516"/>
      <c r="H39" s="509"/>
      <c r="I39" s="495"/>
    </row>
    <row r="40" spans="1:9">
      <c r="A40" s="499"/>
      <c r="B40" s="499"/>
      <c r="C40" s="499"/>
      <c r="D40" s="499" t="s">
        <v>130</v>
      </c>
      <c r="E40" s="500">
        <v>90</v>
      </c>
      <c r="F40" s="501" t="s">
        <v>123</v>
      </c>
      <c r="G40" s="500"/>
      <c r="H40" s="503"/>
      <c r="I40" s="492"/>
    </row>
    <row r="41" spans="1:9">
      <c r="A41" s="495"/>
      <c r="B41" s="495"/>
      <c r="C41" s="495"/>
      <c r="D41" s="495"/>
      <c r="E41" s="509"/>
      <c r="F41" s="505"/>
      <c r="G41" s="509"/>
      <c r="H41" s="507"/>
      <c r="I41" s="494"/>
    </row>
    <row r="42" spans="1:9">
      <c r="A42" s="499"/>
      <c r="B42" s="499"/>
      <c r="C42" s="499"/>
      <c r="D42" s="508" t="s">
        <v>1155</v>
      </c>
      <c r="E42" s="500">
        <v>1</v>
      </c>
      <c r="F42" s="501" t="s">
        <v>117</v>
      </c>
      <c r="G42" s="500"/>
      <c r="H42" s="500"/>
      <c r="I42" s="492"/>
    </row>
    <row r="43" spans="1:9">
      <c r="A43" s="495"/>
      <c r="B43" s="495"/>
      <c r="C43" s="495"/>
      <c r="D43" s="495"/>
      <c r="E43" s="504"/>
      <c r="F43" s="505"/>
      <c r="G43" s="516"/>
      <c r="H43" s="509"/>
      <c r="I43" s="495"/>
    </row>
    <row r="44" spans="1:9">
      <c r="A44" s="499"/>
      <c r="B44" s="499"/>
      <c r="C44" s="499"/>
      <c r="D44" s="508" t="s">
        <v>118</v>
      </c>
      <c r="E44" s="500">
        <v>1</v>
      </c>
      <c r="F44" s="501" t="s">
        <v>117</v>
      </c>
      <c r="G44" s="500"/>
      <c r="H44" s="500"/>
      <c r="I44" s="492" t="s">
        <v>1154</v>
      </c>
    </row>
    <row r="45" spans="1:9">
      <c r="A45" s="495"/>
      <c r="B45" s="495"/>
      <c r="C45" s="495"/>
      <c r="D45" s="495"/>
      <c r="E45" s="504"/>
      <c r="F45" s="505"/>
      <c r="G45" s="516"/>
      <c r="H45" s="509"/>
      <c r="I45" s="495"/>
    </row>
    <row r="46" spans="1:9">
      <c r="A46" s="499"/>
      <c r="B46" s="499"/>
      <c r="C46" s="499" t="s">
        <v>134</v>
      </c>
      <c r="D46" s="508" t="s">
        <v>118</v>
      </c>
      <c r="E46" s="500">
        <v>1</v>
      </c>
      <c r="F46" s="501" t="s">
        <v>117</v>
      </c>
      <c r="G46" s="500"/>
      <c r="H46" s="503"/>
      <c r="I46" s="492" t="s">
        <v>135</v>
      </c>
    </row>
    <row r="47" spans="1:9">
      <c r="A47" s="495"/>
      <c r="B47" s="495"/>
      <c r="C47" s="495"/>
      <c r="D47" s="518"/>
      <c r="E47" s="504"/>
      <c r="F47" s="505"/>
      <c r="G47" s="516"/>
      <c r="H47" s="507"/>
      <c r="I47" s="495"/>
    </row>
    <row r="48" spans="1:9">
      <c r="A48" s="499"/>
      <c r="B48" s="499"/>
      <c r="C48" s="499"/>
      <c r="D48" s="499"/>
      <c r="E48" s="500"/>
      <c r="F48" s="501"/>
      <c r="G48" s="500"/>
      <c r="H48" s="500"/>
      <c r="I48" s="492"/>
    </row>
    <row r="49" spans="1:9">
      <c r="A49" s="495"/>
      <c r="B49" s="495"/>
      <c r="C49" s="495"/>
      <c r="D49" s="495"/>
      <c r="E49" s="516"/>
      <c r="F49" s="517"/>
      <c r="G49" s="516"/>
      <c r="H49" s="516"/>
      <c r="I49" s="495"/>
    </row>
    <row r="50" spans="1:9">
      <c r="A50" s="499"/>
      <c r="B50" s="499"/>
      <c r="C50" s="499" t="s">
        <v>136</v>
      </c>
      <c r="D50" s="499" t="s">
        <v>136</v>
      </c>
      <c r="E50" s="514">
        <v>5.54</v>
      </c>
      <c r="F50" s="501" t="s">
        <v>123</v>
      </c>
      <c r="G50" s="500"/>
      <c r="H50" s="503"/>
      <c r="I50" s="492"/>
    </row>
    <row r="51" spans="1:9">
      <c r="A51" s="495"/>
      <c r="B51" s="495"/>
      <c r="C51" s="495"/>
      <c r="D51" s="495"/>
      <c r="E51" s="511"/>
      <c r="F51" s="505"/>
      <c r="G51" s="509"/>
      <c r="H51" s="507"/>
      <c r="I51" s="494"/>
    </row>
    <row r="52" spans="1:9">
      <c r="A52" s="499"/>
      <c r="B52" s="499"/>
      <c r="C52" s="499"/>
      <c r="D52" s="508" t="s">
        <v>1161</v>
      </c>
      <c r="E52" s="500">
        <v>1</v>
      </c>
      <c r="F52" s="501" t="s">
        <v>117</v>
      </c>
      <c r="G52" s="500"/>
      <c r="H52" s="500"/>
      <c r="I52" s="492"/>
    </row>
    <row r="53" spans="1:9">
      <c r="A53" s="495"/>
      <c r="B53" s="495"/>
      <c r="C53" s="495"/>
      <c r="D53" s="495"/>
      <c r="E53" s="504"/>
      <c r="F53" s="505"/>
      <c r="G53" s="516"/>
      <c r="H53" s="509"/>
      <c r="I53" s="495"/>
    </row>
    <row r="54" spans="1:9">
      <c r="A54" s="499"/>
      <c r="B54" s="499"/>
      <c r="C54" s="499" t="s">
        <v>138</v>
      </c>
      <c r="D54" s="508" t="s">
        <v>118</v>
      </c>
      <c r="E54" s="500">
        <v>1</v>
      </c>
      <c r="F54" s="501" t="s">
        <v>117</v>
      </c>
      <c r="G54" s="500"/>
      <c r="H54" s="503"/>
      <c r="I54" s="492" t="s">
        <v>139</v>
      </c>
    </row>
    <row r="55" spans="1:9">
      <c r="A55" s="495"/>
      <c r="B55" s="495"/>
      <c r="C55" s="495"/>
      <c r="D55" s="518"/>
      <c r="E55" s="504"/>
      <c r="F55" s="505"/>
      <c r="G55" s="516"/>
      <c r="H55" s="507"/>
      <c r="I55" s="495"/>
    </row>
    <row r="56" spans="1:9">
      <c r="A56" s="499"/>
      <c r="B56" s="499"/>
      <c r="C56" s="499"/>
      <c r="D56" s="499"/>
      <c r="E56" s="500"/>
      <c r="F56" s="501"/>
      <c r="G56" s="500"/>
      <c r="H56" s="500"/>
      <c r="I56" s="492"/>
    </row>
    <row r="57" spans="1:9">
      <c r="A57" s="495"/>
      <c r="B57" s="495"/>
      <c r="C57" s="495"/>
      <c r="D57" s="495"/>
      <c r="E57" s="516"/>
      <c r="F57" s="517"/>
      <c r="G57" s="516"/>
      <c r="H57" s="516"/>
      <c r="I57" s="495"/>
    </row>
    <row r="58" spans="1:9">
      <c r="A58" s="499"/>
      <c r="B58" s="499"/>
      <c r="C58" s="499" t="s">
        <v>140</v>
      </c>
      <c r="D58" s="499" t="s">
        <v>141</v>
      </c>
      <c r="E58" s="514">
        <v>19.84</v>
      </c>
      <c r="F58" s="501" t="s">
        <v>123</v>
      </c>
      <c r="G58" s="500"/>
      <c r="H58" s="519"/>
      <c r="I58" s="499"/>
    </row>
    <row r="59" spans="1:9">
      <c r="A59" s="495"/>
      <c r="B59" s="495"/>
      <c r="C59" s="495"/>
      <c r="D59" s="495"/>
      <c r="E59" s="511"/>
      <c r="F59" s="505"/>
      <c r="G59" s="509"/>
      <c r="H59" s="520"/>
      <c r="I59" s="496"/>
    </row>
    <row r="60" spans="1:9">
      <c r="A60" s="499"/>
      <c r="B60" s="499"/>
      <c r="C60" s="499"/>
      <c r="D60" s="499" t="s">
        <v>142</v>
      </c>
      <c r="E60" s="514">
        <v>0.68</v>
      </c>
      <c r="F60" s="501" t="s">
        <v>123</v>
      </c>
      <c r="G60" s="500"/>
      <c r="H60" s="519"/>
      <c r="I60" s="492" t="s">
        <v>1130</v>
      </c>
    </row>
    <row r="61" spans="1:9">
      <c r="A61" s="495"/>
      <c r="B61" s="495"/>
      <c r="C61" s="495"/>
      <c r="D61" s="495"/>
      <c r="E61" s="511"/>
      <c r="F61" s="505"/>
      <c r="G61" s="509"/>
      <c r="H61" s="520"/>
      <c r="I61" s="495"/>
    </row>
    <row r="62" spans="1:9">
      <c r="A62" s="499"/>
      <c r="B62" s="499"/>
      <c r="C62" s="499"/>
      <c r="D62" s="508" t="s">
        <v>1160</v>
      </c>
      <c r="E62" s="500">
        <v>1</v>
      </c>
      <c r="F62" s="501" t="s">
        <v>117</v>
      </c>
      <c r="G62" s="500"/>
      <c r="H62" s="519"/>
      <c r="I62" s="492"/>
    </row>
    <row r="63" spans="1:9">
      <c r="A63" s="495"/>
      <c r="B63" s="495"/>
      <c r="C63" s="495"/>
      <c r="D63" s="495"/>
      <c r="E63" s="504"/>
      <c r="F63" s="505"/>
      <c r="G63" s="509"/>
      <c r="H63" s="520"/>
      <c r="I63" s="495"/>
    </row>
    <row r="64" spans="1:9">
      <c r="A64" s="499"/>
      <c r="B64" s="499" t="s">
        <v>145</v>
      </c>
      <c r="C64" s="499"/>
      <c r="D64" s="508" t="s">
        <v>118</v>
      </c>
      <c r="E64" s="500">
        <v>1</v>
      </c>
      <c r="F64" s="501" t="s">
        <v>117</v>
      </c>
      <c r="G64" s="500"/>
      <c r="H64" s="521"/>
      <c r="I64" s="492" t="s">
        <v>146</v>
      </c>
    </row>
    <row r="65" spans="1:9">
      <c r="A65" s="495"/>
      <c r="B65" s="495"/>
      <c r="C65" s="495"/>
      <c r="D65" s="518"/>
      <c r="E65" s="507"/>
      <c r="F65" s="505"/>
      <c r="G65" s="516"/>
      <c r="H65" s="522"/>
      <c r="I65" s="495"/>
    </row>
  </sheetData>
  <mergeCells count="9">
    <mergeCell ref="I4:I5"/>
    <mergeCell ref="C2:H3"/>
    <mergeCell ref="A4:A5"/>
    <mergeCell ref="B4:B5"/>
    <mergeCell ref="C4:D5"/>
    <mergeCell ref="E4:E5"/>
    <mergeCell ref="F4:F5"/>
    <mergeCell ref="G4:G5"/>
    <mergeCell ref="H4:H5"/>
  </mergeCells>
  <phoneticPr fontId="3"/>
  <printOptions horizontalCentered="1"/>
  <pageMargins left="0.78740157480314965" right="0.39370078740157483" top="0.39370078740157483" bottom="0.39370078740157483" header="0.31496062992125984" footer="0.11811023622047245"/>
  <pageSetup paperSize="9" scale="59" orientation="portrait" blackAndWhite="1" errors="blank"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2:AN49"/>
  <sheetViews>
    <sheetView showGridLines="0" showZeros="0" view="pageBreakPreview" topLeftCell="A10" zoomScale="55" zoomScaleNormal="100" zoomScaleSheetLayoutView="55" workbookViewId="0">
      <selection activeCell="G35" sqref="G35"/>
    </sheetView>
  </sheetViews>
  <sheetFormatPr defaultRowHeight="18.75"/>
  <cols>
    <col min="1" max="1" width="20.625" style="487" customWidth="1"/>
    <col min="2" max="2" width="23.625" style="487" customWidth="1"/>
    <col min="3" max="3" width="8.625" style="487" customWidth="1"/>
    <col min="4" max="4" width="5.625" style="487" customWidth="1"/>
    <col min="5" max="6" width="12.625" style="487" customWidth="1"/>
    <col min="7" max="7" width="17.625" style="487" customWidth="1"/>
    <col min="8" max="8" width="2.625" style="487" customWidth="1"/>
    <col min="9" max="9" width="20.625" style="487" customWidth="1"/>
    <col min="10" max="10" width="23.625" style="487" customWidth="1"/>
    <col min="11" max="11" width="8.625" style="487" customWidth="1"/>
    <col min="12" max="12" width="5.625" style="487" customWidth="1"/>
    <col min="13" max="14" width="12.625" style="487" customWidth="1"/>
    <col min="15" max="15" width="17.625" style="487" customWidth="1"/>
    <col min="16" max="16" width="2.625" style="487" customWidth="1"/>
    <col min="17" max="17" width="20.625" style="487" customWidth="1"/>
    <col min="18" max="18" width="23.625" style="487" customWidth="1"/>
    <col min="19" max="19" width="8.625" style="487" customWidth="1"/>
    <col min="20" max="20" width="5.625" style="487" customWidth="1"/>
    <col min="21" max="22" width="12.625" style="487" customWidth="1"/>
    <col min="23" max="23" width="17.625" style="487" customWidth="1"/>
    <col min="24" max="24" width="2.625" style="487" customWidth="1"/>
    <col min="25" max="25" width="20.625" style="487" customWidth="1"/>
    <col min="26" max="26" width="23.625" style="487" customWidth="1"/>
    <col min="27" max="27" width="8.625" style="487" customWidth="1"/>
    <col min="28" max="28" width="5.625" style="487" customWidth="1"/>
    <col min="29" max="30" width="12.625" style="487" customWidth="1"/>
    <col min="31" max="31" width="17.625" style="487" customWidth="1"/>
    <col min="32" max="32" width="2.625" style="487" customWidth="1"/>
    <col min="33" max="33" width="20.625" style="487" hidden="1" customWidth="1"/>
    <col min="34" max="34" width="23.625" style="487" hidden="1" customWidth="1"/>
    <col min="35" max="35" width="8.625" style="487" hidden="1" customWidth="1"/>
    <col min="36" max="36" width="5.625" style="487" hidden="1" customWidth="1"/>
    <col min="37" max="38" width="12.625" style="487" hidden="1" customWidth="1"/>
    <col min="39" max="39" width="17.625" style="487" hidden="1" customWidth="1"/>
    <col min="40" max="40" width="2.625" style="487" hidden="1" customWidth="1"/>
    <col min="41" max="16384" width="9" style="487"/>
  </cols>
  <sheetData>
    <row r="2" spans="1:39" ht="18.75" customHeight="1">
      <c r="A2" s="674" t="s">
        <v>0</v>
      </c>
      <c r="B2" s="675"/>
      <c r="C2" s="678">
        <v>1</v>
      </c>
      <c r="D2" s="678"/>
      <c r="E2" s="675" t="s">
        <v>1102</v>
      </c>
      <c r="F2" s="675"/>
      <c r="G2" s="680" t="s">
        <v>9</v>
      </c>
      <c r="I2" s="674" t="s">
        <v>0</v>
      </c>
      <c r="J2" s="675"/>
      <c r="K2" s="678">
        <v>2</v>
      </c>
      <c r="L2" s="678"/>
      <c r="M2" s="675" t="s">
        <v>21</v>
      </c>
      <c r="N2" s="675"/>
      <c r="O2" s="680" t="s">
        <v>9</v>
      </c>
      <c r="Q2" s="674" t="s">
        <v>0</v>
      </c>
      <c r="R2" s="675"/>
      <c r="S2" s="678">
        <v>3</v>
      </c>
      <c r="T2" s="678"/>
      <c r="U2" s="675" t="s">
        <v>23</v>
      </c>
      <c r="V2" s="675"/>
      <c r="W2" s="680" t="s">
        <v>9</v>
      </c>
      <c r="Y2" s="674" t="s">
        <v>0</v>
      </c>
      <c r="Z2" s="675"/>
      <c r="AA2" s="678">
        <v>4</v>
      </c>
      <c r="AB2" s="678"/>
      <c r="AC2" s="675" t="s">
        <v>29</v>
      </c>
      <c r="AD2" s="675"/>
      <c r="AE2" s="680" t="s">
        <v>9</v>
      </c>
      <c r="AG2" s="674" t="s">
        <v>0</v>
      </c>
      <c r="AH2" s="675"/>
      <c r="AI2" s="678">
        <v>6</v>
      </c>
      <c r="AJ2" s="678"/>
      <c r="AK2" s="675" t="s">
        <v>31</v>
      </c>
      <c r="AL2" s="675"/>
      <c r="AM2" s="680" t="s">
        <v>9</v>
      </c>
    </row>
    <row r="3" spans="1:39" ht="18.75" customHeight="1">
      <c r="A3" s="676"/>
      <c r="B3" s="677"/>
      <c r="C3" s="679"/>
      <c r="D3" s="679"/>
      <c r="E3" s="677"/>
      <c r="F3" s="677"/>
      <c r="G3" s="681"/>
      <c r="I3" s="676"/>
      <c r="J3" s="677"/>
      <c r="K3" s="679"/>
      <c r="L3" s="679"/>
      <c r="M3" s="677"/>
      <c r="N3" s="677"/>
      <c r="O3" s="681"/>
      <c r="Q3" s="676"/>
      <c r="R3" s="677"/>
      <c r="S3" s="679"/>
      <c r="T3" s="679"/>
      <c r="U3" s="677"/>
      <c r="V3" s="677"/>
      <c r="W3" s="681"/>
      <c r="Y3" s="676"/>
      <c r="Z3" s="677"/>
      <c r="AA3" s="679"/>
      <c r="AB3" s="679"/>
      <c r="AC3" s="677"/>
      <c r="AD3" s="677"/>
      <c r="AE3" s="681"/>
      <c r="AG3" s="676"/>
      <c r="AH3" s="677"/>
      <c r="AI3" s="679"/>
      <c r="AJ3" s="679"/>
      <c r="AK3" s="677"/>
      <c r="AL3" s="677"/>
      <c r="AM3" s="681"/>
    </row>
    <row r="4" spans="1:39" ht="19.5" thickBot="1">
      <c r="A4" s="24" t="s">
        <v>5</v>
      </c>
      <c r="B4" s="25" t="s">
        <v>1</v>
      </c>
      <c r="C4" s="25" t="s">
        <v>4</v>
      </c>
      <c r="D4" s="25" t="s">
        <v>3</v>
      </c>
      <c r="E4" s="25" t="s">
        <v>6</v>
      </c>
      <c r="F4" s="25" t="s">
        <v>7</v>
      </c>
      <c r="G4" s="25" t="s">
        <v>8</v>
      </c>
      <c r="I4" s="24" t="s">
        <v>5</v>
      </c>
      <c r="J4" s="25" t="s">
        <v>1</v>
      </c>
      <c r="K4" s="25" t="s">
        <v>4</v>
      </c>
      <c r="L4" s="25" t="s">
        <v>3</v>
      </c>
      <c r="M4" s="25" t="s">
        <v>6</v>
      </c>
      <c r="N4" s="25" t="s">
        <v>7</v>
      </c>
      <c r="O4" s="25" t="s">
        <v>8</v>
      </c>
      <c r="Q4" s="24" t="s">
        <v>5</v>
      </c>
      <c r="R4" s="25" t="s">
        <v>1</v>
      </c>
      <c r="S4" s="25" t="s">
        <v>4</v>
      </c>
      <c r="T4" s="25" t="s">
        <v>3</v>
      </c>
      <c r="U4" s="25" t="s">
        <v>6</v>
      </c>
      <c r="V4" s="25" t="s">
        <v>7</v>
      </c>
      <c r="W4" s="25" t="s">
        <v>8</v>
      </c>
      <c r="Y4" s="24" t="s">
        <v>5</v>
      </c>
      <c r="Z4" s="25" t="s">
        <v>1</v>
      </c>
      <c r="AA4" s="25" t="s">
        <v>4</v>
      </c>
      <c r="AB4" s="25" t="s">
        <v>3</v>
      </c>
      <c r="AC4" s="25" t="s">
        <v>6</v>
      </c>
      <c r="AD4" s="25" t="s">
        <v>7</v>
      </c>
      <c r="AE4" s="25" t="s">
        <v>8</v>
      </c>
      <c r="AG4" s="24" t="s">
        <v>5</v>
      </c>
      <c r="AH4" s="25" t="s">
        <v>1</v>
      </c>
      <c r="AI4" s="25" t="s">
        <v>4</v>
      </c>
      <c r="AJ4" s="25" t="s">
        <v>3</v>
      </c>
      <c r="AK4" s="25" t="s">
        <v>6</v>
      </c>
      <c r="AL4" s="25" t="s">
        <v>7</v>
      </c>
      <c r="AM4" s="25" t="s">
        <v>8</v>
      </c>
    </row>
    <row r="5" spans="1:39" ht="19.5" customHeight="1" thickTop="1">
      <c r="A5" s="682" t="s">
        <v>1118</v>
      </c>
      <c r="B5" s="683" t="s">
        <v>1119</v>
      </c>
      <c r="C5" s="37">
        <v>2</v>
      </c>
      <c r="D5" s="30" t="s">
        <v>16</v>
      </c>
      <c r="E5" s="23"/>
      <c r="F5" s="23"/>
      <c r="G5" s="43"/>
      <c r="I5" s="667" t="s">
        <v>1126</v>
      </c>
      <c r="J5" s="668" t="s">
        <v>1127</v>
      </c>
      <c r="K5" s="39">
        <v>7.58</v>
      </c>
      <c r="L5" s="32" t="s">
        <v>1128</v>
      </c>
      <c r="M5" s="11"/>
      <c r="N5" s="23"/>
      <c r="O5" s="162"/>
      <c r="Q5" s="682" t="s">
        <v>24</v>
      </c>
      <c r="R5" s="683"/>
      <c r="S5" s="37">
        <v>2.04</v>
      </c>
      <c r="T5" s="30" t="s">
        <v>27</v>
      </c>
      <c r="U5" s="23"/>
      <c r="V5" s="23"/>
      <c r="W5" s="43"/>
      <c r="Y5" s="682" t="s">
        <v>30</v>
      </c>
      <c r="Z5" s="683"/>
      <c r="AA5" s="37">
        <v>6.99</v>
      </c>
      <c r="AB5" s="30" t="s">
        <v>27</v>
      </c>
      <c r="AC5" s="23"/>
      <c r="AD5" s="23"/>
      <c r="AE5" s="43"/>
      <c r="AG5" s="667" t="s">
        <v>765</v>
      </c>
      <c r="AH5" s="668" t="s">
        <v>766</v>
      </c>
      <c r="AI5" s="39"/>
      <c r="AJ5" s="32" t="s">
        <v>20</v>
      </c>
      <c r="AK5" s="11">
        <v>6000</v>
      </c>
      <c r="AL5" s="23">
        <f t="shared" ref="AL5:AL6" si="0">+IF(AK5&gt;0,INT(AI5*AK5),0)</f>
        <v>0</v>
      </c>
      <c r="AM5" s="164" t="s">
        <v>835</v>
      </c>
    </row>
    <row r="6" spans="1:39">
      <c r="A6" s="662"/>
      <c r="B6" s="683"/>
      <c r="C6" s="38"/>
      <c r="D6" s="31"/>
      <c r="E6" s="13"/>
      <c r="F6" s="35"/>
      <c r="G6" s="44"/>
      <c r="I6" s="662"/>
      <c r="J6" s="664"/>
      <c r="K6" s="38"/>
      <c r="L6" s="31"/>
      <c r="M6" s="13"/>
      <c r="N6" s="35"/>
      <c r="O6" s="163"/>
      <c r="Q6" s="662"/>
      <c r="R6" s="664"/>
      <c r="S6" s="41"/>
      <c r="T6" s="31"/>
      <c r="U6" s="13"/>
      <c r="V6" s="35"/>
      <c r="W6" s="44"/>
      <c r="Y6" s="662"/>
      <c r="Z6" s="664"/>
      <c r="AA6" s="41"/>
      <c r="AB6" s="31"/>
      <c r="AC6" s="13"/>
      <c r="AD6" s="35"/>
      <c r="AE6" s="44"/>
      <c r="AG6" s="662"/>
      <c r="AH6" s="664"/>
      <c r="AI6" s="38"/>
      <c r="AJ6" s="31"/>
      <c r="AK6" s="13"/>
      <c r="AL6" s="35">
        <f t="shared" si="0"/>
        <v>0</v>
      </c>
      <c r="AM6" s="44"/>
    </row>
    <row r="7" spans="1:39" ht="18.75" customHeight="1">
      <c r="A7" s="682" t="s">
        <v>1121</v>
      </c>
      <c r="B7" s="668" t="s">
        <v>1120</v>
      </c>
      <c r="C7" s="39">
        <v>1</v>
      </c>
      <c r="D7" s="32" t="s">
        <v>16</v>
      </c>
      <c r="E7" s="11"/>
      <c r="F7" s="23"/>
      <c r="G7" s="43"/>
      <c r="I7" s="667" t="s">
        <v>1142</v>
      </c>
      <c r="J7" s="668" t="s">
        <v>1141</v>
      </c>
      <c r="K7" s="39">
        <v>6.86</v>
      </c>
      <c r="L7" s="32" t="s">
        <v>1128</v>
      </c>
      <c r="M7" s="11"/>
      <c r="N7" s="23"/>
      <c r="O7" s="162"/>
      <c r="Q7" s="661" t="s">
        <v>25</v>
      </c>
      <c r="R7" s="668"/>
      <c r="S7" s="39">
        <v>3.81</v>
      </c>
      <c r="T7" s="32" t="s">
        <v>27</v>
      </c>
      <c r="U7" s="11"/>
      <c r="V7" s="23"/>
      <c r="W7" s="459"/>
      <c r="Y7" s="661"/>
      <c r="Z7" s="668"/>
      <c r="AA7" s="42"/>
      <c r="AB7" s="32"/>
      <c r="AC7" s="11"/>
      <c r="AD7" s="23">
        <f>AA7*AC7</f>
        <v>0</v>
      </c>
      <c r="AE7" s="162"/>
      <c r="AG7" s="667"/>
      <c r="AH7" s="668"/>
      <c r="AI7" s="39"/>
      <c r="AJ7" s="32"/>
      <c r="AK7" s="11"/>
      <c r="AL7" s="23"/>
      <c r="AM7" s="164"/>
    </row>
    <row r="8" spans="1:39">
      <c r="A8" s="662"/>
      <c r="B8" s="670"/>
      <c r="C8" s="38"/>
      <c r="D8" s="31"/>
      <c r="E8" s="13"/>
      <c r="F8" s="35"/>
      <c r="G8" s="44"/>
      <c r="I8" s="662"/>
      <c r="J8" s="664"/>
      <c r="K8" s="38"/>
      <c r="L8" s="31"/>
      <c r="M8" s="13"/>
      <c r="N8" s="35"/>
      <c r="O8" s="163"/>
      <c r="Q8" s="662"/>
      <c r="R8" s="664"/>
      <c r="S8" s="41"/>
      <c r="T8" s="31"/>
      <c r="U8" s="13"/>
      <c r="V8" s="35"/>
      <c r="W8" s="44"/>
      <c r="Y8" s="662"/>
      <c r="Z8" s="664"/>
      <c r="AA8" s="41"/>
      <c r="AB8" s="31"/>
      <c r="AC8" s="13"/>
      <c r="AD8" s="35"/>
      <c r="AE8" s="163"/>
      <c r="AG8" s="662"/>
      <c r="AH8" s="664"/>
      <c r="AI8" s="38"/>
      <c r="AJ8" s="31"/>
      <c r="AK8" s="13"/>
      <c r="AL8" s="35"/>
      <c r="AM8" s="44"/>
    </row>
    <row r="9" spans="1:39" ht="18.75" customHeight="1">
      <c r="A9" s="682" t="s">
        <v>1121</v>
      </c>
      <c r="B9" s="668" t="s">
        <v>1122</v>
      </c>
      <c r="C9" s="39">
        <v>1</v>
      </c>
      <c r="D9" s="32" t="s">
        <v>16</v>
      </c>
      <c r="E9" s="11"/>
      <c r="F9" s="23"/>
      <c r="G9" s="43"/>
      <c r="I9" s="667"/>
      <c r="J9" s="668"/>
      <c r="K9" s="39"/>
      <c r="L9" s="32"/>
      <c r="M9" s="11"/>
      <c r="N9" s="23">
        <f>K9*M9</f>
        <v>0</v>
      </c>
      <c r="O9" s="162"/>
      <c r="Q9" s="661"/>
      <c r="R9" s="668"/>
      <c r="S9" s="29"/>
      <c r="T9" s="32"/>
      <c r="U9" s="11"/>
      <c r="V9" s="23"/>
      <c r="W9" s="43"/>
      <c r="Y9" s="661"/>
      <c r="Z9" s="668"/>
      <c r="AA9" s="42"/>
      <c r="AB9" s="32"/>
      <c r="AC9" s="11"/>
      <c r="AD9" s="23">
        <f>AA9*AC9</f>
        <v>0</v>
      </c>
      <c r="AE9" s="162"/>
      <c r="AG9" s="661"/>
      <c r="AH9" s="668"/>
      <c r="AI9" s="39"/>
      <c r="AJ9" s="32"/>
      <c r="AK9" s="11"/>
      <c r="AL9" s="23"/>
      <c r="AM9" s="43"/>
    </row>
    <row r="10" spans="1:39">
      <c r="A10" s="662"/>
      <c r="B10" s="670"/>
      <c r="C10" s="38"/>
      <c r="D10" s="31"/>
      <c r="E10" s="13"/>
      <c r="F10" s="35"/>
      <c r="G10" s="44"/>
      <c r="I10" s="662"/>
      <c r="J10" s="664"/>
      <c r="K10" s="38"/>
      <c r="L10" s="31"/>
      <c r="M10" s="13"/>
      <c r="N10" s="35"/>
      <c r="O10" s="163"/>
      <c r="Q10" s="662"/>
      <c r="R10" s="664"/>
      <c r="S10" s="41"/>
      <c r="T10" s="31"/>
      <c r="U10" s="13"/>
      <c r="V10" s="35"/>
      <c r="W10" s="44"/>
      <c r="Y10" s="662"/>
      <c r="Z10" s="664"/>
      <c r="AA10" s="41"/>
      <c r="AB10" s="31"/>
      <c r="AC10" s="13"/>
      <c r="AD10" s="35"/>
      <c r="AE10" s="163"/>
      <c r="AG10" s="662"/>
      <c r="AH10" s="664"/>
      <c r="AI10" s="38"/>
      <c r="AJ10" s="31"/>
      <c r="AK10" s="13"/>
      <c r="AL10" s="35"/>
      <c r="AM10" s="44"/>
    </row>
    <row r="11" spans="1:39" ht="18.75" customHeight="1">
      <c r="A11" s="682" t="s">
        <v>1121</v>
      </c>
      <c r="B11" s="668" t="s">
        <v>1123</v>
      </c>
      <c r="C11" s="39">
        <v>1</v>
      </c>
      <c r="D11" s="32" t="s">
        <v>16</v>
      </c>
      <c r="E11" s="11"/>
      <c r="F11" s="23"/>
      <c r="G11" s="43"/>
      <c r="I11" s="667"/>
      <c r="J11" s="668"/>
      <c r="K11" s="39"/>
      <c r="L11" s="32"/>
      <c r="M11" s="11"/>
      <c r="N11" s="23">
        <f t="shared" ref="N11" si="1">K11*M11</f>
        <v>0</v>
      </c>
      <c r="O11" s="162"/>
      <c r="Q11" s="667"/>
      <c r="R11" s="668"/>
      <c r="S11" s="29"/>
      <c r="T11" s="32"/>
      <c r="U11" s="11"/>
      <c r="V11" s="23">
        <f t="shared" ref="V11" si="2">S11*U11</f>
        <v>0</v>
      </c>
      <c r="W11" s="164"/>
      <c r="Y11" s="667"/>
      <c r="Z11" s="668"/>
      <c r="AA11" s="29"/>
      <c r="AB11" s="32"/>
      <c r="AC11" s="11"/>
      <c r="AD11" s="23">
        <f t="shared" ref="AD11" si="3">AA11*AC11</f>
        <v>0</v>
      </c>
      <c r="AE11" s="164"/>
      <c r="AG11" s="667"/>
      <c r="AH11" s="668"/>
      <c r="AI11" s="39"/>
      <c r="AJ11" s="32"/>
      <c r="AK11" s="11"/>
      <c r="AL11" s="23"/>
      <c r="AM11" s="164"/>
    </row>
    <row r="12" spans="1:39">
      <c r="A12" s="662"/>
      <c r="B12" s="664"/>
      <c r="C12" s="38"/>
      <c r="D12" s="31"/>
      <c r="E12" s="13"/>
      <c r="F12" s="35"/>
      <c r="G12" s="44"/>
      <c r="I12" s="662"/>
      <c r="J12" s="664"/>
      <c r="K12" s="38"/>
      <c r="L12" s="31"/>
      <c r="M12" s="13"/>
      <c r="N12" s="35"/>
      <c r="O12" s="163"/>
      <c r="Q12" s="662"/>
      <c r="R12" s="664"/>
      <c r="S12" s="28"/>
      <c r="T12" s="31"/>
      <c r="U12" s="13"/>
      <c r="V12" s="35"/>
      <c r="W12" s="163"/>
      <c r="Y12" s="662"/>
      <c r="Z12" s="664"/>
      <c r="AA12" s="28"/>
      <c r="AB12" s="31"/>
      <c r="AC12" s="13"/>
      <c r="AD12" s="35"/>
      <c r="AE12" s="163"/>
      <c r="AG12" s="662"/>
      <c r="AH12" s="664"/>
      <c r="AI12" s="38"/>
      <c r="AJ12" s="31"/>
      <c r="AK12" s="13"/>
      <c r="AL12" s="35"/>
      <c r="AM12" s="44"/>
    </row>
    <row r="13" spans="1:39" ht="18.75" customHeight="1">
      <c r="A13" s="682"/>
      <c r="B13" s="668"/>
      <c r="C13" s="39"/>
      <c r="D13" s="32"/>
      <c r="E13" s="11"/>
      <c r="F13" s="23">
        <f t="shared" ref="F13" si="4">C13*E13</f>
        <v>0</v>
      </c>
      <c r="G13" s="43"/>
      <c r="I13" s="667"/>
      <c r="J13" s="668"/>
      <c r="K13" s="39"/>
      <c r="L13" s="32"/>
      <c r="M13" s="11"/>
      <c r="N13" s="23">
        <f t="shared" ref="N13" si="5">K13*M13</f>
        <v>0</v>
      </c>
      <c r="O13" s="164"/>
      <c r="Q13" s="667"/>
      <c r="R13" s="668"/>
      <c r="S13" s="29"/>
      <c r="T13" s="32"/>
      <c r="U13" s="11"/>
      <c r="V13" s="23">
        <f t="shared" ref="V13" si="6">S13*U13</f>
        <v>0</v>
      </c>
      <c r="W13" s="164"/>
      <c r="Y13" s="667"/>
      <c r="Z13" s="668"/>
      <c r="AA13" s="29"/>
      <c r="AB13" s="32"/>
      <c r="AC13" s="11"/>
      <c r="AD13" s="23">
        <f t="shared" ref="AD13" si="7">AA13*AC13</f>
        <v>0</v>
      </c>
      <c r="AE13" s="164"/>
      <c r="AG13" s="667"/>
      <c r="AH13" s="668"/>
      <c r="AI13" s="39"/>
      <c r="AJ13" s="32"/>
      <c r="AK13" s="11"/>
      <c r="AL13" s="23"/>
      <c r="AM13" s="164"/>
    </row>
    <row r="14" spans="1:39">
      <c r="A14" s="662"/>
      <c r="B14" s="670"/>
      <c r="C14" s="38"/>
      <c r="D14" s="31"/>
      <c r="E14" s="13"/>
      <c r="F14" s="35"/>
      <c r="G14" s="44"/>
      <c r="I14" s="662"/>
      <c r="J14" s="664"/>
      <c r="K14" s="38"/>
      <c r="L14" s="31"/>
      <c r="M14" s="13"/>
      <c r="N14" s="35"/>
      <c r="O14" s="163"/>
      <c r="Q14" s="662"/>
      <c r="R14" s="664"/>
      <c r="S14" s="28"/>
      <c r="T14" s="31"/>
      <c r="U14" s="13"/>
      <c r="V14" s="35"/>
      <c r="W14" s="163"/>
      <c r="Y14" s="662"/>
      <c r="Z14" s="664"/>
      <c r="AA14" s="28"/>
      <c r="AB14" s="31"/>
      <c r="AC14" s="13"/>
      <c r="AD14" s="35"/>
      <c r="AE14" s="163"/>
      <c r="AG14" s="669"/>
      <c r="AH14" s="670"/>
      <c r="AI14" s="38"/>
      <c r="AJ14" s="31"/>
      <c r="AK14" s="13"/>
      <c r="AL14" s="35"/>
      <c r="AM14" s="44"/>
    </row>
    <row r="15" spans="1:39" ht="18.75" customHeight="1">
      <c r="A15" s="682"/>
      <c r="B15" s="668"/>
      <c r="C15" s="39"/>
      <c r="D15" s="32"/>
      <c r="E15" s="11"/>
      <c r="F15" s="23">
        <f t="shared" ref="F15" si="8">C15*E15</f>
        <v>0</v>
      </c>
      <c r="G15" s="43"/>
      <c r="I15" s="667"/>
      <c r="J15" s="668"/>
      <c r="K15" s="39"/>
      <c r="L15" s="32"/>
      <c r="M15" s="11"/>
      <c r="N15" s="23">
        <f t="shared" ref="N15" si="9">K15*M15</f>
        <v>0</v>
      </c>
      <c r="O15" s="164"/>
      <c r="Q15" s="667"/>
      <c r="R15" s="668"/>
      <c r="S15" s="29"/>
      <c r="T15" s="32"/>
      <c r="U15" s="11"/>
      <c r="V15" s="23">
        <f t="shared" ref="V15" si="10">S15*U15</f>
        <v>0</v>
      </c>
      <c r="W15" s="164"/>
      <c r="Y15" s="667"/>
      <c r="Z15" s="668"/>
      <c r="AA15" s="29"/>
      <c r="AB15" s="32"/>
      <c r="AC15" s="11"/>
      <c r="AD15" s="23">
        <f t="shared" ref="AD15" si="11">AA15*AC15</f>
        <v>0</v>
      </c>
      <c r="AE15" s="164"/>
      <c r="AG15" s="667"/>
      <c r="AH15" s="668"/>
      <c r="AI15" s="39"/>
      <c r="AJ15" s="32"/>
      <c r="AK15" s="11"/>
      <c r="AL15" s="23"/>
      <c r="AM15" s="164"/>
    </row>
    <row r="16" spans="1:39">
      <c r="A16" s="662"/>
      <c r="B16" s="670"/>
      <c r="C16" s="38"/>
      <c r="D16" s="31"/>
      <c r="E16" s="13"/>
      <c r="F16" s="35"/>
      <c r="G16" s="44"/>
      <c r="I16" s="662"/>
      <c r="J16" s="664"/>
      <c r="K16" s="38"/>
      <c r="L16" s="31"/>
      <c r="M16" s="13"/>
      <c r="N16" s="35"/>
      <c r="O16" s="163"/>
      <c r="Q16" s="662"/>
      <c r="R16" s="664"/>
      <c r="S16" s="28"/>
      <c r="T16" s="31"/>
      <c r="U16" s="13"/>
      <c r="V16" s="35"/>
      <c r="W16" s="163"/>
      <c r="Y16" s="662"/>
      <c r="Z16" s="664"/>
      <c r="AA16" s="28"/>
      <c r="AB16" s="31"/>
      <c r="AC16" s="13"/>
      <c r="AD16" s="35"/>
      <c r="AE16" s="163"/>
      <c r="AG16" s="662"/>
      <c r="AH16" s="664"/>
      <c r="AI16" s="38"/>
      <c r="AJ16" s="31"/>
      <c r="AK16" s="13"/>
      <c r="AL16" s="35"/>
      <c r="AM16" s="44"/>
    </row>
    <row r="17" spans="1:39">
      <c r="A17" s="667"/>
      <c r="B17" s="668"/>
      <c r="C17" s="39"/>
      <c r="D17" s="32"/>
      <c r="E17" s="11"/>
      <c r="F17" s="23">
        <f t="shared" ref="F17" si="12">C17*E17</f>
        <v>0</v>
      </c>
      <c r="G17" s="43"/>
      <c r="I17" s="661"/>
      <c r="J17" s="663"/>
      <c r="K17" s="39"/>
      <c r="L17" s="32"/>
      <c r="M17" s="11"/>
      <c r="N17" s="23">
        <f t="shared" ref="N17" si="13">K17*M17</f>
        <v>0</v>
      </c>
      <c r="O17" s="164"/>
      <c r="Q17" s="661"/>
      <c r="R17" s="663"/>
      <c r="S17" s="10"/>
      <c r="T17" s="32"/>
      <c r="U17" s="11"/>
      <c r="V17" s="23">
        <f t="shared" ref="V17" si="14">S17*U17</f>
        <v>0</v>
      </c>
      <c r="W17" s="164"/>
      <c r="Y17" s="661"/>
      <c r="Z17" s="663"/>
      <c r="AA17" s="10"/>
      <c r="AB17" s="32"/>
      <c r="AC17" s="11"/>
      <c r="AD17" s="23">
        <f t="shared" ref="AD17" si="15">AA17*AC17</f>
        <v>0</v>
      </c>
      <c r="AE17" s="164"/>
      <c r="AG17" s="661"/>
      <c r="AH17" s="663"/>
      <c r="AI17" s="39"/>
      <c r="AJ17" s="32"/>
      <c r="AK17" s="11"/>
      <c r="AL17" s="23"/>
      <c r="AM17" s="45"/>
    </row>
    <row r="18" spans="1:39">
      <c r="A18" s="662"/>
      <c r="B18" s="670"/>
      <c r="C18" s="38"/>
      <c r="D18" s="31"/>
      <c r="E18" s="13"/>
      <c r="F18" s="35"/>
      <c r="G18" s="44"/>
      <c r="I18" s="662"/>
      <c r="J18" s="664"/>
      <c r="K18" s="38"/>
      <c r="L18" s="31"/>
      <c r="M18" s="13"/>
      <c r="N18" s="35"/>
      <c r="O18" s="163"/>
      <c r="Q18" s="662"/>
      <c r="R18" s="664"/>
      <c r="S18" s="12"/>
      <c r="T18" s="31"/>
      <c r="U18" s="13"/>
      <c r="V18" s="35"/>
      <c r="W18" s="163"/>
      <c r="Y18" s="662"/>
      <c r="Z18" s="664"/>
      <c r="AA18" s="12"/>
      <c r="AB18" s="31"/>
      <c r="AC18" s="13"/>
      <c r="AD18" s="35"/>
      <c r="AE18" s="163"/>
      <c r="AG18" s="662"/>
      <c r="AH18" s="664"/>
      <c r="AI18" s="38"/>
      <c r="AJ18" s="31"/>
      <c r="AK18" s="13"/>
      <c r="AL18" s="35"/>
      <c r="AM18" s="44"/>
    </row>
    <row r="19" spans="1:39" ht="18.75" customHeight="1">
      <c r="A19" s="667"/>
      <c r="B19" s="668"/>
      <c r="C19" s="39"/>
      <c r="D19" s="32"/>
      <c r="E19" s="11"/>
      <c r="F19" s="23">
        <f t="shared" ref="F19" si="16">C19*E19</f>
        <v>0</v>
      </c>
      <c r="G19" s="43"/>
      <c r="I19" s="661"/>
      <c r="J19" s="663"/>
      <c r="K19" s="39"/>
      <c r="L19" s="32"/>
      <c r="M19" s="11"/>
      <c r="N19" s="23">
        <f t="shared" ref="N19" si="17">K19*M19</f>
        <v>0</v>
      </c>
      <c r="O19" s="164"/>
      <c r="Q19" s="661"/>
      <c r="R19" s="663"/>
      <c r="S19" s="10"/>
      <c r="T19" s="32"/>
      <c r="U19" s="11"/>
      <c r="V19" s="23">
        <f t="shared" ref="V19" si="18">S19*U19</f>
        <v>0</v>
      </c>
      <c r="W19" s="164"/>
      <c r="Y19" s="661"/>
      <c r="Z19" s="663"/>
      <c r="AA19" s="10"/>
      <c r="AB19" s="32"/>
      <c r="AC19" s="11"/>
      <c r="AD19" s="23">
        <f t="shared" ref="AD19" si="19">AA19*AC19</f>
        <v>0</v>
      </c>
      <c r="AE19" s="164"/>
      <c r="AG19" s="667"/>
      <c r="AH19" s="668"/>
      <c r="AI19" s="39"/>
      <c r="AJ19" s="32"/>
      <c r="AK19" s="11"/>
      <c r="AL19" s="23"/>
      <c r="AM19" s="45"/>
    </row>
    <row r="20" spans="1:39">
      <c r="A20" s="662"/>
      <c r="B20" s="670"/>
      <c r="C20" s="38"/>
      <c r="D20" s="31"/>
      <c r="E20" s="13"/>
      <c r="F20" s="35"/>
      <c r="G20" s="44"/>
      <c r="I20" s="662"/>
      <c r="J20" s="664"/>
      <c r="K20" s="38"/>
      <c r="L20" s="31"/>
      <c r="M20" s="13"/>
      <c r="N20" s="35"/>
      <c r="O20" s="163"/>
      <c r="Q20" s="662"/>
      <c r="R20" s="664"/>
      <c r="S20" s="12"/>
      <c r="T20" s="31"/>
      <c r="U20" s="13"/>
      <c r="V20" s="35"/>
      <c r="W20" s="163"/>
      <c r="Y20" s="662"/>
      <c r="Z20" s="664"/>
      <c r="AA20" s="12"/>
      <c r="AB20" s="31"/>
      <c r="AC20" s="13"/>
      <c r="AD20" s="35"/>
      <c r="AE20" s="163"/>
      <c r="AG20" s="662"/>
      <c r="AH20" s="664"/>
      <c r="AI20" s="38"/>
      <c r="AJ20" s="31"/>
      <c r="AK20" s="13"/>
      <c r="AL20" s="35"/>
      <c r="AM20" s="44"/>
    </row>
    <row r="21" spans="1:39">
      <c r="A21" s="661"/>
      <c r="B21" s="683"/>
      <c r="C21" s="39"/>
      <c r="D21" s="32"/>
      <c r="E21" s="11"/>
      <c r="F21" s="23">
        <f t="shared" ref="F21" si="20">C21*E21</f>
        <v>0</v>
      </c>
      <c r="G21" s="43"/>
      <c r="I21" s="661"/>
      <c r="J21" s="663"/>
      <c r="K21" s="39"/>
      <c r="L21" s="32"/>
      <c r="M21" s="11"/>
      <c r="N21" s="23">
        <f t="shared" ref="N21" si="21">K21*M21</f>
        <v>0</v>
      </c>
      <c r="O21" s="164"/>
      <c r="Q21" s="661"/>
      <c r="R21" s="663"/>
      <c r="S21" s="10"/>
      <c r="T21" s="32"/>
      <c r="U21" s="11"/>
      <c r="V21" s="23">
        <f t="shared" ref="V21" si="22">S21*U21</f>
        <v>0</v>
      </c>
      <c r="W21" s="164"/>
      <c r="Y21" s="661"/>
      <c r="Z21" s="663"/>
      <c r="AA21" s="10"/>
      <c r="AB21" s="32"/>
      <c r="AC21" s="11"/>
      <c r="AD21" s="23">
        <f t="shared" ref="AD21" si="23">AA21*AC21</f>
        <v>0</v>
      </c>
      <c r="AE21" s="164"/>
      <c r="AG21" s="661"/>
      <c r="AH21" s="663"/>
      <c r="AI21" s="39"/>
      <c r="AJ21" s="32"/>
      <c r="AK21" s="11"/>
      <c r="AL21" s="23">
        <f t="shared" ref="AL21:AL46" si="24">+IF(AK21&gt;0,INT(AI21*AK21),0)</f>
        <v>0</v>
      </c>
      <c r="AM21" s="45"/>
    </row>
    <row r="22" spans="1:39">
      <c r="A22" s="662"/>
      <c r="B22" s="683"/>
      <c r="C22" s="38"/>
      <c r="D22" s="31"/>
      <c r="E22" s="13"/>
      <c r="F22" s="35"/>
      <c r="G22" s="44"/>
      <c r="I22" s="662"/>
      <c r="J22" s="664"/>
      <c r="K22" s="38"/>
      <c r="L22" s="31"/>
      <c r="M22" s="13"/>
      <c r="N22" s="35"/>
      <c r="O22" s="163"/>
      <c r="Q22" s="662"/>
      <c r="R22" s="664"/>
      <c r="S22" s="12"/>
      <c r="T22" s="31"/>
      <c r="U22" s="13"/>
      <c r="V22" s="35"/>
      <c r="W22" s="163"/>
      <c r="Y22" s="662"/>
      <c r="Z22" s="664"/>
      <c r="AA22" s="12"/>
      <c r="AB22" s="31"/>
      <c r="AC22" s="13"/>
      <c r="AD22" s="35"/>
      <c r="AE22" s="163"/>
      <c r="AG22" s="662"/>
      <c r="AH22" s="664"/>
      <c r="AI22" s="38"/>
      <c r="AJ22" s="31"/>
      <c r="AK22" s="13"/>
      <c r="AL22" s="35">
        <f t="shared" si="24"/>
        <v>0</v>
      </c>
      <c r="AM22" s="44"/>
    </row>
    <row r="23" spans="1:39" ht="18.75" customHeight="1">
      <c r="A23" s="661"/>
      <c r="B23" s="663"/>
      <c r="C23" s="39"/>
      <c r="D23" s="32"/>
      <c r="E23" s="11"/>
      <c r="F23" s="23">
        <f t="shared" ref="F23" si="25">C23*E23</f>
        <v>0</v>
      </c>
      <c r="G23" s="43"/>
      <c r="I23" s="661"/>
      <c r="J23" s="663"/>
      <c r="K23" s="39"/>
      <c r="L23" s="32"/>
      <c r="M23" s="11"/>
      <c r="N23" s="23">
        <f t="shared" ref="N23" si="26">K23*M23</f>
        <v>0</v>
      </c>
      <c r="O23" s="164"/>
      <c r="Q23" s="661"/>
      <c r="R23" s="663"/>
      <c r="S23" s="10"/>
      <c r="T23" s="32"/>
      <c r="U23" s="11"/>
      <c r="V23" s="23">
        <f t="shared" ref="V23" si="27">S23*U23</f>
        <v>0</v>
      </c>
      <c r="W23" s="164"/>
      <c r="Y23" s="661"/>
      <c r="Z23" s="663"/>
      <c r="AA23" s="10"/>
      <c r="AB23" s="32"/>
      <c r="AC23" s="11"/>
      <c r="AD23" s="23">
        <f t="shared" ref="AD23" si="28">AA23*AC23</f>
        <v>0</v>
      </c>
      <c r="AE23" s="164"/>
      <c r="AG23" s="661"/>
      <c r="AH23" s="663"/>
      <c r="AI23" s="39"/>
      <c r="AJ23" s="32"/>
      <c r="AK23" s="11"/>
      <c r="AL23" s="23">
        <f t="shared" si="24"/>
        <v>0</v>
      </c>
      <c r="AM23" s="45"/>
    </row>
    <row r="24" spans="1:39">
      <c r="A24" s="662"/>
      <c r="B24" s="664"/>
      <c r="C24" s="38"/>
      <c r="D24" s="31"/>
      <c r="E24" s="13"/>
      <c r="F24" s="35"/>
      <c r="G24" s="44"/>
      <c r="I24" s="662"/>
      <c r="J24" s="664"/>
      <c r="K24" s="38"/>
      <c r="L24" s="31"/>
      <c r="M24" s="13"/>
      <c r="N24" s="35"/>
      <c r="O24" s="163"/>
      <c r="Q24" s="662"/>
      <c r="R24" s="664"/>
      <c r="S24" s="12"/>
      <c r="T24" s="31"/>
      <c r="U24" s="13"/>
      <c r="V24" s="35"/>
      <c r="W24" s="163"/>
      <c r="Y24" s="662"/>
      <c r="Z24" s="664"/>
      <c r="AA24" s="12"/>
      <c r="AB24" s="31"/>
      <c r="AC24" s="13"/>
      <c r="AD24" s="35"/>
      <c r="AE24" s="163"/>
      <c r="AG24" s="662"/>
      <c r="AH24" s="664"/>
      <c r="AI24" s="38"/>
      <c r="AJ24" s="31"/>
      <c r="AK24" s="13"/>
      <c r="AL24" s="35">
        <f t="shared" si="24"/>
        <v>0</v>
      </c>
      <c r="AM24" s="44"/>
    </row>
    <row r="25" spans="1:39" ht="18.75" customHeight="1">
      <c r="A25" s="661"/>
      <c r="B25" s="663"/>
      <c r="C25" s="39"/>
      <c r="D25" s="32"/>
      <c r="E25" s="11"/>
      <c r="F25" s="23">
        <f t="shared" ref="F25" si="29">C25*E25</f>
        <v>0</v>
      </c>
      <c r="G25" s="43"/>
      <c r="I25" s="661"/>
      <c r="J25" s="663"/>
      <c r="K25" s="39"/>
      <c r="L25" s="32"/>
      <c r="M25" s="11"/>
      <c r="N25" s="23">
        <f t="shared" ref="N25" si="30">K25*M25</f>
        <v>0</v>
      </c>
      <c r="O25" s="164"/>
      <c r="Q25" s="661"/>
      <c r="R25" s="663"/>
      <c r="S25" s="10"/>
      <c r="T25" s="32"/>
      <c r="U25" s="11"/>
      <c r="V25" s="23">
        <f t="shared" ref="V25" si="31">S25*U25</f>
        <v>0</v>
      </c>
      <c r="W25" s="164"/>
      <c r="Y25" s="661"/>
      <c r="Z25" s="663"/>
      <c r="AA25" s="10"/>
      <c r="AB25" s="32"/>
      <c r="AC25" s="11"/>
      <c r="AD25" s="23">
        <f t="shared" ref="AD25" si="32">AA25*AC25</f>
        <v>0</v>
      </c>
      <c r="AE25" s="164"/>
      <c r="AG25" s="661"/>
      <c r="AH25" s="663"/>
      <c r="AI25" s="39"/>
      <c r="AJ25" s="32"/>
      <c r="AK25" s="11"/>
      <c r="AL25" s="23">
        <f t="shared" si="24"/>
        <v>0</v>
      </c>
      <c r="AM25" s="45"/>
    </row>
    <row r="26" spans="1:39">
      <c r="A26" s="662"/>
      <c r="B26" s="664"/>
      <c r="C26" s="38"/>
      <c r="D26" s="31"/>
      <c r="E26" s="13"/>
      <c r="F26" s="35"/>
      <c r="G26" s="44"/>
      <c r="I26" s="662"/>
      <c r="J26" s="664"/>
      <c r="K26" s="38"/>
      <c r="L26" s="31"/>
      <c r="M26" s="13"/>
      <c r="N26" s="35"/>
      <c r="O26" s="163"/>
      <c r="Q26" s="662"/>
      <c r="R26" s="664"/>
      <c r="S26" s="12"/>
      <c r="T26" s="31"/>
      <c r="U26" s="13"/>
      <c r="V26" s="35"/>
      <c r="W26" s="163"/>
      <c r="Y26" s="662"/>
      <c r="Z26" s="664"/>
      <c r="AA26" s="12"/>
      <c r="AB26" s="31"/>
      <c r="AC26" s="13"/>
      <c r="AD26" s="35"/>
      <c r="AE26" s="163"/>
      <c r="AG26" s="662"/>
      <c r="AH26" s="664"/>
      <c r="AI26" s="38"/>
      <c r="AJ26" s="31"/>
      <c r="AK26" s="13"/>
      <c r="AL26" s="35">
        <f t="shared" si="24"/>
        <v>0</v>
      </c>
      <c r="AM26" s="44"/>
    </row>
    <row r="27" spans="1:39" ht="18.75" customHeight="1">
      <c r="A27" s="661"/>
      <c r="B27" s="663"/>
      <c r="C27" s="39"/>
      <c r="D27" s="32"/>
      <c r="E27" s="11"/>
      <c r="F27" s="23">
        <f t="shared" ref="F27" si="33">C27*E27</f>
        <v>0</v>
      </c>
      <c r="G27" s="43"/>
      <c r="I27" s="661"/>
      <c r="J27" s="663"/>
      <c r="K27" s="39"/>
      <c r="L27" s="32"/>
      <c r="M27" s="11"/>
      <c r="N27" s="23">
        <f t="shared" ref="N27" si="34">K27*M27</f>
        <v>0</v>
      </c>
      <c r="O27" s="164"/>
      <c r="Q27" s="661"/>
      <c r="R27" s="663"/>
      <c r="S27" s="10"/>
      <c r="T27" s="32"/>
      <c r="U27" s="11"/>
      <c r="V27" s="23">
        <f t="shared" ref="V27" si="35">S27*U27</f>
        <v>0</v>
      </c>
      <c r="W27" s="164"/>
      <c r="Y27" s="661"/>
      <c r="Z27" s="663"/>
      <c r="AA27" s="10"/>
      <c r="AB27" s="32"/>
      <c r="AC27" s="11"/>
      <c r="AD27" s="23">
        <f t="shared" ref="AD27" si="36">AA27*AC27</f>
        <v>0</v>
      </c>
      <c r="AE27" s="164"/>
      <c r="AG27" s="661"/>
      <c r="AH27" s="663"/>
      <c r="AI27" s="39"/>
      <c r="AJ27" s="32"/>
      <c r="AK27" s="11"/>
      <c r="AL27" s="23">
        <f t="shared" si="24"/>
        <v>0</v>
      </c>
      <c r="AM27" s="45"/>
    </row>
    <row r="28" spans="1:39">
      <c r="A28" s="662"/>
      <c r="B28" s="664"/>
      <c r="C28" s="38"/>
      <c r="D28" s="31"/>
      <c r="E28" s="13"/>
      <c r="F28" s="35"/>
      <c r="G28" s="44"/>
      <c r="I28" s="662"/>
      <c r="J28" s="664"/>
      <c r="K28" s="38"/>
      <c r="L28" s="31"/>
      <c r="M28" s="13"/>
      <c r="N28" s="35"/>
      <c r="O28" s="163"/>
      <c r="Q28" s="662"/>
      <c r="R28" s="664"/>
      <c r="S28" s="12"/>
      <c r="T28" s="31"/>
      <c r="U28" s="13"/>
      <c r="V28" s="35"/>
      <c r="W28" s="163"/>
      <c r="Y28" s="662"/>
      <c r="Z28" s="664"/>
      <c r="AA28" s="12"/>
      <c r="AB28" s="31"/>
      <c r="AC28" s="13"/>
      <c r="AD28" s="35"/>
      <c r="AE28" s="163"/>
      <c r="AG28" s="662"/>
      <c r="AH28" s="664"/>
      <c r="AI28" s="38"/>
      <c r="AJ28" s="31"/>
      <c r="AK28" s="13"/>
      <c r="AL28" s="35">
        <f t="shared" si="24"/>
        <v>0</v>
      </c>
      <c r="AM28" s="44"/>
    </row>
    <row r="29" spans="1:39" ht="18.75" customHeight="1">
      <c r="A29" s="661"/>
      <c r="B29" s="668"/>
      <c r="C29" s="39"/>
      <c r="D29" s="32"/>
      <c r="E29" s="11"/>
      <c r="F29" s="23">
        <f t="shared" ref="F29" si="37">C29*E29</f>
        <v>0</v>
      </c>
      <c r="G29" s="43"/>
      <c r="I29" s="661"/>
      <c r="J29" s="663"/>
      <c r="K29" s="39"/>
      <c r="L29" s="32"/>
      <c r="M29" s="11"/>
      <c r="N29" s="23">
        <f t="shared" ref="N29" si="38">K29*M29</f>
        <v>0</v>
      </c>
      <c r="O29" s="164"/>
      <c r="Q29" s="661"/>
      <c r="R29" s="663"/>
      <c r="S29" s="10"/>
      <c r="T29" s="32"/>
      <c r="U29" s="11"/>
      <c r="V29" s="23">
        <f t="shared" ref="V29" si="39">S29*U29</f>
        <v>0</v>
      </c>
      <c r="W29" s="164"/>
      <c r="Y29" s="661"/>
      <c r="Z29" s="663"/>
      <c r="AA29" s="10"/>
      <c r="AB29" s="32"/>
      <c r="AC29" s="11"/>
      <c r="AD29" s="23">
        <f t="shared" ref="AD29" si="40">AA29*AC29</f>
        <v>0</v>
      </c>
      <c r="AE29" s="164"/>
      <c r="AG29" s="661"/>
      <c r="AH29" s="663"/>
      <c r="AI29" s="39"/>
      <c r="AJ29" s="32"/>
      <c r="AK29" s="11"/>
      <c r="AL29" s="23">
        <f t="shared" si="24"/>
        <v>0</v>
      </c>
      <c r="AM29" s="45"/>
    </row>
    <row r="30" spans="1:39">
      <c r="A30" s="662"/>
      <c r="B30" s="670"/>
      <c r="C30" s="38"/>
      <c r="D30" s="31"/>
      <c r="E30" s="13"/>
      <c r="F30" s="35"/>
      <c r="G30" s="44"/>
      <c r="I30" s="662"/>
      <c r="J30" s="664"/>
      <c r="K30" s="38"/>
      <c r="L30" s="31"/>
      <c r="M30" s="13"/>
      <c r="N30" s="35"/>
      <c r="O30" s="163"/>
      <c r="Q30" s="662"/>
      <c r="R30" s="664"/>
      <c r="S30" s="12"/>
      <c r="T30" s="31"/>
      <c r="U30" s="13"/>
      <c r="V30" s="35"/>
      <c r="W30" s="163"/>
      <c r="Y30" s="662"/>
      <c r="Z30" s="664"/>
      <c r="AA30" s="12"/>
      <c r="AB30" s="31"/>
      <c r="AC30" s="13"/>
      <c r="AD30" s="35"/>
      <c r="AE30" s="163"/>
      <c r="AG30" s="662"/>
      <c r="AH30" s="664"/>
      <c r="AI30" s="38"/>
      <c r="AJ30" s="31"/>
      <c r="AK30" s="13"/>
      <c r="AL30" s="35">
        <f t="shared" si="24"/>
        <v>0</v>
      </c>
      <c r="AM30" s="44"/>
    </row>
    <row r="31" spans="1:39" ht="18.75" customHeight="1">
      <c r="A31" s="661"/>
      <c r="B31" s="668"/>
      <c r="C31" s="39"/>
      <c r="D31" s="32"/>
      <c r="E31" s="11"/>
      <c r="F31" s="23">
        <f t="shared" ref="F31" si="41">C31*E31</f>
        <v>0</v>
      </c>
      <c r="G31" s="43"/>
      <c r="I31" s="661"/>
      <c r="J31" s="663"/>
      <c r="K31" s="39"/>
      <c r="L31" s="32"/>
      <c r="M31" s="11"/>
      <c r="N31" s="23">
        <f t="shared" ref="N31" si="42">K31*M31</f>
        <v>0</v>
      </c>
      <c r="O31" s="164"/>
      <c r="Q31" s="661"/>
      <c r="R31" s="663"/>
      <c r="S31" s="10"/>
      <c r="T31" s="32"/>
      <c r="U31" s="11"/>
      <c r="V31" s="23">
        <f t="shared" ref="V31" si="43">S31*U31</f>
        <v>0</v>
      </c>
      <c r="W31" s="164"/>
      <c r="Y31" s="661"/>
      <c r="Z31" s="663"/>
      <c r="AA31" s="10"/>
      <c r="AB31" s="32"/>
      <c r="AC31" s="11"/>
      <c r="AD31" s="23">
        <f t="shared" ref="AD31" si="44">AA31*AC31</f>
        <v>0</v>
      </c>
      <c r="AE31" s="164"/>
      <c r="AG31" s="661"/>
      <c r="AH31" s="663"/>
      <c r="AI31" s="39"/>
      <c r="AJ31" s="32"/>
      <c r="AK31" s="11"/>
      <c r="AL31" s="23">
        <f t="shared" si="24"/>
        <v>0</v>
      </c>
      <c r="AM31" s="45"/>
    </row>
    <row r="32" spans="1:39">
      <c r="A32" s="662"/>
      <c r="B32" s="670"/>
      <c r="C32" s="38"/>
      <c r="D32" s="31"/>
      <c r="E32" s="13"/>
      <c r="F32" s="35"/>
      <c r="G32" s="44"/>
      <c r="I32" s="662"/>
      <c r="J32" s="664"/>
      <c r="K32" s="38"/>
      <c r="L32" s="31"/>
      <c r="M32" s="13"/>
      <c r="N32" s="35"/>
      <c r="O32" s="163"/>
      <c r="Q32" s="662"/>
      <c r="R32" s="664"/>
      <c r="S32" s="12"/>
      <c r="T32" s="31"/>
      <c r="U32" s="13"/>
      <c r="V32" s="35"/>
      <c r="W32" s="163"/>
      <c r="Y32" s="662"/>
      <c r="Z32" s="664"/>
      <c r="AA32" s="12"/>
      <c r="AB32" s="31"/>
      <c r="AC32" s="13"/>
      <c r="AD32" s="35"/>
      <c r="AE32" s="163"/>
      <c r="AG32" s="662"/>
      <c r="AH32" s="664"/>
      <c r="AI32" s="38"/>
      <c r="AJ32" s="31"/>
      <c r="AK32" s="13"/>
      <c r="AL32" s="35">
        <f t="shared" si="24"/>
        <v>0</v>
      </c>
      <c r="AM32" s="44"/>
    </row>
    <row r="33" spans="1:39" ht="18.75" customHeight="1">
      <c r="A33" s="661"/>
      <c r="B33" s="668"/>
      <c r="C33" s="39"/>
      <c r="D33" s="32"/>
      <c r="E33" s="11"/>
      <c r="F33" s="23">
        <f t="shared" ref="F33" si="45">C33*E33</f>
        <v>0</v>
      </c>
      <c r="G33" s="43"/>
      <c r="I33" s="661"/>
      <c r="J33" s="663"/>
      <c r="K33" s="39"/>
      <c r="L33" s="32"/>
      <c r="M33" s="11"/>
      <c r="N33" s="23">
        <f t="shared" ref="N33" si="46">K33*M33</f>
        <v>0</v>
      </c>
      <c r="O33" s="164"/>
      <c r="Q33" s="661"/>
      <c r="R33" s="663"/>
      <c r="S33" s="10"/>
      <c r="T33" s="32"/>
      <c r="U33" s="11"/>
      <c r="V33" s="23">
        <f t="shared" ref="V33" si="47">S33*U33</f>
        <v>0</v>
      </c>
      <c r="W33" s="164"/>
      <c r="Y33" s="661"/>
      <c r="Z33" s="663"/>
      <c r="AA33" s="10"/>
      <c r="AB33" s="32"/>
      <c r="AC33" s="11"/>
      <c r="AD33" s="23">
        <f t="shared" ref="AD33" si="48">AA33*AC33</f>
        <v>0</v>
      </c>
      <c r="AE33" s="164"/>
      <c r="AG33" s="661"/>
      <c r="AH33" s="663"/>
      <c r="AI33" s="39"/>
      <c r="AJ33" s="32"/>
      <c r="AK33" s="11"/>
      <c r="AL33" s="23">
        <f t="shared" si="24"/>
        <v>0</v>
      </c>
      <c r="AM33" s="45"/>
    </row>
    <row r="34" spans="1:39">
      <c r="A34" s="662"/>
      <c r="B34" s="670"/>
      <c r="C34" s="38"/>
      <c r="D34" s="31"/>
      <c r="E34" s="13"/>
      <c r="F34" s="35"/>
      <c r="G34" s="44"/>
      <c r="I34" s="662"/>
      <c r="J34" s="664"/>
      <c r="K34" s="38"/>
      <c r="L34" s="31"/>
      <c r="M34" s="13"/>
      <c r="N34" s="35"/>
      <c r="O34" s="163"/>
      <c r="Q34" s="662"/>
      <c r="R34" s="664"/>
      <c r="S34" s="12"/>
      <c r="T34" s="31"/>
      <c r="U34" s="13"/>
      <c r="V34" s="35"/>
      <c r="W34" s="163"/>
      <c r="Y34" s="662"/>
      <c r="Z34" s="664"/>
      <c r="AA34" s="12"/>
      <c r="AB34" s="31"/>
      <c r="AC34" s="13"/>
      <c r="AD34" s="35"/>
      <c r="AE34" s="163"/>
      <c r="AG34" s="662"/>
      <c r="AH34" s="664"/>
      <c r="AI34" s="38"/>
      <c r="AJ34" s="31"/>
      <c r="AK34" s="13"/>
      <c r="AL34" s="35">
        <f t="shared" si="24"/>
        <v>0</v>
      </c>
      <c r="AM34" s="44"/>
    </row>
    <row r="35" spans="1:39" ht="18.75" customHeight="1">
      <c r="A35" s="661" t="s">
        <v>1145</v>
      </c>
      <c r="B35" s="668"/>
      <c r="C35" s="39"/>
      <c r="D35" s="10"/>
      <c r="E35" s="11"/>
      <c r="F35" s="23">
        <f t="shared" ref="F35" si="49">C35*E35</f>
        <v>0</v>
      </c>
      <c r="G35" s="43"/>
      <c r="I35" s="661"/>
      <c r="J35" s="663"/>
      <c r="K35" s="39"/>
      <c r="L35" s="32"/>
      <c r="M35" s="11"/>
      <c r="N35" s="23">
        <f t="shared" ref="N35" si="50">K35*M35</f>
        <v>0</v>
      </c>
      <c r="O35" s="164"/>
      <c r="Q35" s="661"/>
      <c r="R35" s="663"/>
      <c r="S35" s="10"/>
      <c r="T35" s="32"/>
      <c r="U35" s="11"/>
      <c r="V35" s="23">
        <f t="shared" ref="V35" si="51">S35*U35</f>
        <v>0</v>
      </c>
      <c r="W35" s="164"/>
      <c r="Y35" s="661"/>
      <c r="Z35" s="663"/>
      <c r="AA35" s="10"/>
      <c r="AB35" s="32"/>
      <c r="AC35" s="11"/>
      <c r="AD35" s="23">
        <f t="shared" ref="AD35" si="52">AA35*AC35</f>
        <v>0</v>
      </c>
      <c r="AE35" s="164"/>
      <c r="AG35" s="661"/>
      <c r="AH35" s="663"/>
      <c r="AI35" s="39"/>
      <c r="AJ35" s="32"/>
      <c r="AK35" s="11"/>
      <c r="AL35" s="23">
        <f t="shared" si="24"/>
        <v>0</v>
      </c>
      <c r="AM35" s="45"/>
    </row>
    <row r="36" spans="1:39">
      <c r="A36" s="662"/>
      <c r="B36" s="670"/>
      <c r="C36" s="38"/>
      <c r="D36" s="12"/>
      <c r="E36" s="13"/>
      <c r="F36" s="35"/>
      <c r="G36" s="44"/>
      <c r="I36" s="662"/>
      <c r="J36" s="664"/>
      <c r="K36" s="38"/>
      <c r="L36" s="31"/>
      <c r="M36" s="13"/>
      <c r="N36" s="35"/>
      <c r="O36" s="163"/>
      <c r="Q36" s="662"/>
      <c r="R36" s="664"/>
      <c r="S36" s="12"/>
      <c r="T36" s="31"/>
      <c r="U36" s="13"/>
      <c r="V36" s="35"/>
      <c r="W36" s="163"/>
      <c r="Y36" s="662"/>
      <c r="Z36" s="664"/>
      <c r="AA36" s="12"/>
      <c r="AB36" s="31"/>
      <c r="AC36" s="13"/>
      <c r="AD36" s="35"/>
      <c r="AE36" s="163"/>
      <c r="AG36" s="662"/>
      <c r="AH36" s="664"/>
      <c r="AI36" s="38"/>
      <c r="AJ36" s="31"/>
      <c r="AK36" s="13"/>
      <c r="AL36" s="35">
        <f t="shared" si="24"/>
        <v>0</v>
      </c>
      <c r="AM36" s="44"/>
    </row>
    <row r="37" spans="1:39" ht="18.75" customHeight="1">
      <c r="A37" s="661"/>
      <c r="B37" s="668"/>
      <c r="C37" s="39"/>
      <c r="D37" s="32"/>
      <c r="E37" s="11"/>
      <c r="F37" s="23">
        <f t="shared" ref="F37" si="53">C37*E37</f>
        <v>0</v>
      </c>
      <c r="G37" s="43"/>
      <c r="I37" s="661"/>
      <c r="J37" s="663"/>
      <c r="K37" s="39"/>
      <c r="L37" s="32"/>
      <c r="M37" s="11"/>
      <c r="N37" s="23">
        <f t="shared" ref="N37" si="54">K37*M37</f>
        <v>0</v>
      </c>
      <c r="O37" s="164"/>
      <c r="Q37" s="661"/>
      <c r="R37" s="663"/>
      <c r="S37" s="10"/>
      <c r="T37" s="32"/>
      <c r="U37" s="11"/>
      <c r="V37" s="23">
        <f t="shared" ref="V37" si="55">S37*U37</f>
        <v>0</v>
      </c>
      <c r="W37" s="164"/>
      <c r="Y37" s="661"/>
      <c r="Z37" s="663"/>
      <c r="AA37" s="10"/>
      <c r="AB37" s="32"/>
      <c r="AC37" s="11"/>
      <c r="AD37" s="23">
        <f t="shared" ref="AD37" si="56">AA37*AC37</f>
        <v>0</v>
      </c>
      <c r="AE37" s="164"/>
      <c r="AG37" s="661"/>
      <c r="AH37" s="663"/>
      <c r="AI37" s="39"/>
      <c r="AJ37" s="32"/>
      <c r="AK37" s="11"/>
      <c r="AL37" s="23">
        <f t="shared" si="24"/>
        <v>0</v>
      </c>
      <c r="AM37" s="45"/>
    </row>
    <row r="38" spans="1:39">
      <c r="A38" s="662"/>
      <c r="B38" s="670"/>
      <c r="C38" s="38"/>
      <c r="D38" s="31"/>
      <c r="E38" s="13"/>
      <c r="F38" s="35"/>
      <c r="G38" s="44"/>
      <c r="I38" s="662"/>
      <c r="J38" s="664"/>
      <c r="K38" s="38"/>
      <c r="L38" s="31"/>
      <c r="M38" s="13"/>
      <c r="N38" s="35"/>
      <c r="O38" s="163"/>
      <c r="Q38" s="662"/>
      <c r="R38" s="664"/>
      <c r="S38" s="12"/>
      <c r="T38" s="31"/>
      <c r="U38" s="13"/>
      <c r="V38" s="35"/>
      <c r="W38" s="163"/>
      <c r="Y38" s="662"/>
      <c r="Z38" s="664"/>
      <c r="AA38" s="12"/>
      <c r="AB38" s="31"/>
      <c r="AC38" s="13"/>
      <c r="AD38" s="35"/>
      <c r="AE38" s="163"/>
      <c r="AG38" s="662"/>
      <c r="AH38" s="664"/>
      <c r="AI38" s="38"/>
      <c r="AJ38" s="31"/>
      <c r="AK38" s="13"/>
      <c r="AL38" s="35">
        <f t="shared" si="24"/>
        <v>0</v>
      </c>
      <c r="AM38" s="44"/>
    </row>
    <row r="39" spans="1:39" ht="18.75" customHeight="1">
      <c r="A39" s="661"/>
      <c r="B39" s="668"/>
      <c r="C39" s="39"/>
      <c r="D39" s="32"/>
      <c r="E39" s="11"/>
      <c r="F39" s="23">
        <f t="shared" ref="F39" si="57">C39*E39</f>
        <v>0</v>
      </c>
      <c r="G39" s="43"/>
      <c r="I39" s="661"/>
      <c r="J39" s="663"/>
      <c r="K39" s="39"/>
      <c r="L39" s="32"/>
      <c r="M39" s="11"/>
      <c r="N39" s="23">
        <f t="shared" ref="N39" si="58">K39*M39</f>
        <v>0</v>
      </c>
      <c r="O39" s="164"/>
      <c r="Q39" s="661"/>
      <c r="R39" s="663"/>
      <c r="S39" s="10"/>
      <c r="T39" s="32"/>
      <c r="U39" s="11"/>
      <c r="V39" s="23">
        <f t="shared" ref="V39" si="59">S39*U39</f>
        <v>0</v>
      </c>
      <c r="W39" s="164"/>
      <c r="Y39" s="661"/>
      <c r="Z39" s="663"/>
      <c r="AA39" s="10"/>
      <c r="AB39" s="32"/>
      <c r="AC39" s="11"/>
      <c r="AD39" s="23">
        <f t="shared" ref="AD39" si="60">AA39*AC39</f>
        <v>0</v>
      </c>
      <c r="AE39" s="164"/>
      <c r="AG39" s="661"/>
      <c r="AH39" s="663"/>
      <c r="AI39" s="39"/>
      <c r="AJ39" s="32"/>
      <c r="AK39" s="11"/>
      <c r="AL39" s="23">
        <f t="shared" si="24"/>
        <v>0</v>
      </c>
      <c r="AM39" s="45"/>
    </row>
    <row r="40" spans="1:39">
      <c r="A40" s="662"/>
      <c r="B40" s="670"/>
      <c r="C40" s="38"/>
      <c r="D40" s="31"/>
      <c r="E40" s="13"/>
      <c r="F40" s="35"/>
      <c r="G40" s="44"/>
      <c r="I40" s="662"/>
      <c r="J40" s="664"/>
      <c r="K40" s="38"/>
      <c r="L40" s="31"/>
      <c r="M40" s="13"/>
      <c r="N40" s="35"/>
      <c r="O40" s="163"/>
      <c r="Q40" s="662"/>
      <c r="R40" s="664"/>
      <c r="S40" s="12"/>
      <c r="T40" s="31"/>
      <c r="U40" s="13"/>
      <c r="V40" s="35"/>
      <c r="W40" s="163"/>
      <c r="Y40" s="662"/>
      <c r="Z40" s="664"/>
      <c r="AA40" s="12"/>
      <c r="AB40" s="31"/>
      <c r="AC40" s="13"/>
      <c r="AD40" s="35"/>
      <c r="AE40" s="163"/>
      <c r="AG40" s="662"/>
      <c r="AH40" s="664"/>
      <c r="AI40" s="38"/>
      <c r="AJ40" s="31"/>
      <c r="AK40" s="13"/>
      <c r="AL40" s="35">
        <f t="shared" si="24"/>
        <v>0</v>
      </c>
      <c r="AM40" s="44"/>
    </row>
    <row r="41" spans="1:39" ht="18.75" customHeight="1">
      <c r="A41" s="661"/>
      <c r="B41" s="668"/>
      <c r="C41" s="39"/>
      <c r="D41" s="32"/>
      <c r="E41" s="11"/>
      <c r="F41" s="23">
        <f t="shared" ref="F41" si="61">C41*E41</f>
        <v>0</v>
      </c>
      <c r="G41" s="43"/>
      <c r="I41" s="661"/>
      <c r="J41" s="663"/>
      <c r="K41" s="39"/>
      <c r="L41" s="32"/>
      <c r="M41" s="11"/>
      <c r="N41" s="23">
        <f t="shared" ref="N41" si="62">K41*M41</f>
        <v>0</v>
      </c>
      <c r="O41" s="164"/>
      <c r="Q41" s="661"/>
      <c r="R41" s="663"/>
      <c r="S41" s="10"/>
      <c r="T41" s="32"/>
      <c r="U41" s="11"/>
      <c r="V41" s="23">
        <f t="shared" ref="V41" si="63">S41*U41</f>
        <v>0</v>
      </c>
      <c r="W41" s="164"/>
      <c r="Y41" s="661"/>
      <c r="Z41" s="663"/>
      <c r="AA41" s="10"/>
      <c r="AB41" s="32"/>
      <c r="AC41" s="11"/>
      <c r="AD41" s="23">
        <f t="shared" ref="AD41" si="64">AA41*AC41</f>
        <v>0</v>
      </c>
      <c r="AE41" s="164"/>
      <c r="AG41" s="661"/>
      <c r="AH41" s="663"/>
      <c r="AI41" s="39"/>
      <c r="AJ41" s="32"/>
      <c r="AK41" s="11"/>
      <c r="AL41" s="23">
        <f t="shared" si="24"/>
        <v>0</v>
      </c>
      <c r="AM41" s="45"/>
    </row>
    <row r="42" spans="1:39">
      <c r="A42" s="662"/>
      <c r="B42" s="670"/>
      <c r="C42" s="38"/>
      <c r="D42" s="31"/>
      <c r="E42" s="13"/>
      <c r="F42" s="35"/>
      <c r="G42" s="44"/>
      <c r="I42" s="662"/>
      <c r="J42" s="664"/>
      <c r="K42" s="38"/>
      <c r="L42" s="31"/>
      <c r="M42" s="13"/>
      <c r="N42" s="35"/>
      <c r="O42" s="163"/>
      <c r="Q42" s="662"/>
      <c r="R42" s="664"/>
      <c r="S42" s="12"/>
      <c r="T42" s="31"/>
      <c r="U42" s="13"/>
      <c r="V42" s="35"/>
      <c r="W42" s="163"/>
      <c r="Y42" s="662"/>
      <c r="Z42" s="664"/>
      <c r="AA42" s="12"/>
      <c r="AB42" s="31"/>
      <c r="AC42" s="13"/>
      <c r="AD42" s="35"/>
      <c r="AE42" s="163"/>
      <c r="AG42" s="662"/>
      <c r="AH42" s="664"/>
      <c r="AI42" s="38"/>
      <c r="AJ42" s="31"/>
      <c r="AK42" s="13"/>
      <c r="AL42" s="35">
        <f t="shared" si="24"/>
        <v>0</v>
      </c>
      <c r="AM42" s="44"/>
    </row>
    <row r="43" spans="1:39">
      <c r="A43" s="661"/>
      <c r="B43" s="668"/>
      <c r="C43" s="39"/>
      <c r="D43" s="32"/>
      <c r="E43" s="11"/>
      <c r="F43" s="23">
        <f t="shared" ref="F43" si="65">C43*E43</f>
        <v>0</v>
      </c>
      <c r="G43" s="43"/>
      <c r="I43" s="661"/>
      <c r="J43" s="663"/>
      <c r="K43" s="39"/>
      <c r="L43" s="32"/>
      <c r="M43" s="11"/>
      <c r="N43" s="23">
        <f t="shared" ref="N43" si="66">K43*M43</f>
        <v>0</v>
      </c>
      <c r="O43" s="164"/>
      <c r="Q43" s="661"/>
      <c r="R43" s="663"/>
      <c r="S43" s="10"/>
      <c r="T43" s="32"/>
      <c r="U43" s="11"/>
      <c r="V43" s="23">
        <f t="shared" ref="V43" si="67">S43*U43</f>
        <v>0</v>
      </c>
      <c r="W43" s="164"/>
      <c r="Y43" s="661"/>
      <c r="Z43" s="663"/>
      <c r="AA43" s="10"/>
      <c r="AB43" s="32"/>
      <c r="AC43" s="11"/>
      <c r="AD43" s="23">
        <f t="shared" ref="AD43" si="68">AA43*AC43</f>
        <v>0</v>
      </c>
      <c r="AE43" s="164"/>
      <c r="AG43" s="661"/>
      <c r="AH43" s="663"/>
      <c r="AI43" s="39"/>
      <c r="AJ43" s="32"/>
      <c r="AK43" s="11"/>
      <c r="AL43" s="23">
        <f t="shared" si="24"/>
        <v>0</v>
      </c>
      <c r="AM43" s="45"/>
    </row>
    <row r="44" spans="1:39">
      <c r="A44" s="662"/>
      <c r="B44" s="670"/>
      <c r="C44" s="38"/>
      <c r="D44" s="31"/>
      <c r="E44" s="13"/>
      <c r="F44" s="35"/>
      <c r="G44" s="44"/>
      <c r="I44" s="662"/>
      <c r="J44" s="664"/>
      <c r="K44" s="38"/>
      <c r="L44" s="31"/>
      <c r="M44" s="13"/>
      <c r="N44" s="35"/>
      <c r="O44" s="163"/>
      <c r="Q44" s="662"/>
      <c r="R44" s="664"/>
      <c r="S44" s="12"/>
      <c r="T44" s="31"/>
      <c r="U44" s="13"/>
      <c r="V44" s="35"/>
      <c r="W44" s="163"/>
      <c r="Y44" s="662"/>
      <c r="Z44" s="664"/>
      <c r="AA44" s="12"/>
      <c r="AB44" s="31"/>
      <c r="AC44" s="13"/>
      <c r="AD44" s="35"/>
      <c r="AE44" s="163"/>
      <c r="AG44" s="662"/>
      <c r="AH44" s="664"/>
      <c r="AI44" s="38"/>
      <c r="AJ44" s="31"/>
      <c r="AK44" s="13"/>
      <c r="AL44" s="35">
        <f t="shared" si="24"/>
        <v>0</v>
      </c>
      <c r="AM44" s="44"/>
    </row>
    <row r="45" spans="1:39">
      <c r="A45" s="661"/>
      <c r="B45" s="663"/>
      <c r="C45" s="39"/>
      <c r="D45" s="32"/>
      <c r="E45" s="11"/>
      <c r="F45" s="11">
        <f t="shared" ref="F45" si="69">C45*E45</f>
        <v>0</v>
      </c>
      <c r="G45" s="43"/>
      <c r="I45" s="667"/>
      <c r="J45" s="663"/>
      <c r="K45" s="133"/>
      <c r="L45" s="32"/>
      <c r="M45" s="11"/>
      <c r="N45" s="23"/>
      <c r="O45" s="45"/>
      <c r="Q45" s="661"/>
      <c r="R45" s="663"/>
      <c r="S45" s="10"/>
      <c r="T45" s="32"/>
      <c r="U45" s="11"/>
      <c r="V45" s="23">
        <f t="shared" ref="V45" si="70">S45*U45</f>
        <v>0</v>
      </c>
      <c r="W45" s="164"/>
      <c r="Y45" s="661"/>
      <c r="Z45" s="663"/>
      <c r="AA45" s="10"/>
      <c r="AB45" s="32"/>
      <c r="AC45" s="11"/>
      <c r="AD45" s="23">
        <f t="shared" ref="AD45" si="71">AA45*AC45</f>
        <v>0</v>
      </c>
      <c r="AE45" s="164"/>
      <c r="AG45" s="661"/>
      <c r="AH45" s="663"/>
      <c r="AI45" s="39"/>
      <c r="AJ45" s="32"/>
      <c r="AK45" s="11"/>
      <c r="AL45" s="23">
        <f t="shared" si="24"/>
        <v>0</v>
      </c>
      <c r="AM45" s="45"/>
    </row>
    <row r="46" spans="1:39" ht="19.5" thickBot="1">
      <c r="A46" s="665"/>
      <c r="B46" s="666"/>
      <c r="C46" s="47"/>
      <c r="D46" s="33"/>
      <c r="E46" s="27"/>
      <c r="F46" s="34"/>
      <c r="G46" s="461"/>
      <c r="I46" s="665"/>
      <c r="J46" s="666"/>
      <c r="K46" s="134"/>
      <c r="L46" s="33"/>
      <c r="M46" s="34"/>
      <c r="N46" s="34"/>
      <c r="O46" s="46"/>
      <c r="Q46" s="665"/>
      <c r="R46" s="666"/>
      <c r="S46" s="26"/>
      <c r="T46" s="33"/>
      <c r="U46" s="27"/>
      <c r="V46" s="34"/>
      <c r="W46" s="170"/>
      <c r="Y46" s="665"/>
      <c r="Z46" s="666"/>
      <c r="AA46" s="26"/>
      <c r="AB46" s="33"/>
      <c r="AC46" s="27"/>
      <c r="AD46" s="34"/>
      <c r="AE46" s="170"/>
      <c r="AG46" s="665"/>
      <c r="AH46" s="666"/>
      <c r="AI46" s="47"/>
      <c r="AJ46" s="33"/>
      <c r="AK46" s="27"/>
      <c r="AL46" s="34">
        <f t="shared" si="24"/>
        <v>0</v>
      </c>
      <c r="AM46" s="46"/>
    </row>
    <row r="47" spans="1:39" ht="19.5" thickTop="1">
      <c r="A47" s="671"/>
      <c r="B47" s="672" t="s">
        <v>11</v>
      </c>
      <c r="C47" s="22"/>
      <c r="D47" s="22"/>
      <c r="E47" s="23"/>
      <c r="F47" s="23">
        <f>F5+F7+F9+F11+F13+F15+F17+F19+F21+F23+F25+F27+F29+F31+F33+F35+F37+F39+F41+F43+F45</f>
        <v>0</v>
      </c>
      <c r="G47" s="22"/>
      <c r="I47" s="671"/>
      <c r="J47" s="672" t="s">
        <v>11</v>
      </c>
      <c r="K47" s="22"/>
      <c r="L47" s="22"/>
      <c r="M47" s="23"/>
      <c r="N47" s="23">
        <f>N5+N7+N9+N11+N13+N15+N17+N19+N21+N23+N25+N27+N29+N31+N33+N35+N37+N39+N41+N43+N45</f>
        <v>0</v>
      </c>
      <c r="O47" s="22"/>
      <c r="Q47" s="671"/>
      <c r="R47" s="672" t="s">
        <v>11</v>
      </c>
      <c r="S47" s="22"/>
      <c r="T47" s="22"/>
      <c r="U47" s="23"/>
      <c r="V47" s="23">
        <f>V5+V6+V7+V8+V9+V11+V13+V15+V17+V19+V21+V23+V25+V27+V29+V31+V33+V35+V37+V39+V41+V43+V45</f>
        <v>0</v>
      </c>
      <c r="W47" s="22"/>
      <c r="Y47" s="671"/>
      <c r="Z47" s="672" t="s">
        <v>11</v>
      </c>
      <c r="AA47" s="22"/>
      <c r="AB47" s="22"/>
      <c r="AC47" s="23"/>
      <c r="AD47" s="23">
        <f>AD5+AD6+AD7+AD9+AD11+AD13+AD15+AD17+AD19+AD21+AD23+AD25+AD27+AD29+AD31+AD33+AD35+AD37+AD39+AD41+AD43+AD45</f>
        <v>0</v>
      </c>
      <c r="AE47" s="22"/>
      <c r="AG47" s="671"/>
      <c r="AH47" s="672" t="s">
        <v>11</v>
      </c>
      <c r="AI47" s="22"/>
      <c r="AJ47" s="22"/>
      <c r="AK47" s="23"/>
      <c r="AL47" s="23">
        <f>+SUM(AL5,AL7,AL9,AL11,AL13,AL15,AL17,AL19,AL21,AL23,AL25,AL27,AL29,AL31,AL33,AL35,AL37,AL39,AL41,AL43,AL45)</f>
        <v>0</v>
      </c>
      <c r="AM47" s="22"/>
    </row>
    <row r="48" spans="1:39">
      <c r="A48" s="662"/>
      <c r="B48" s="673"/>
      <c r="C48" s="12"/>
      <c r="D48" s="12"/>
      <c r="E48" s="13"/>
      <c r="F48" s="35"/>
      <c r="G48" s="12"/>
      <c r="I48" s="662"/>
      <c r="J48" s="673"/>
      <c r="K48" s="12"/>
      <c r="L48" s="12"/>
      <c r="M48" s="13"/>
      <c r="N48" s="35"/>
      <c r="O48" s="12"/>
      <c r="Q48" s="662"/>
      <c r="R48" s="673"/>
      <c r="S48" s="12"/>
      <c r="T48" s="12"/>
      <c r="U48" s="13"/>
      <c r="V48" s="35"/>
      <c r="W48" s="12"/>
      <c r="Y48" s="662"/>
      <c r="Z48" s="673"/>
      <c r="AA48" s="12"/>
      <c r="AB48" s="12"/>
      <c r="AC48" s="13"/>
      <c r="AD48" s="35"/>
      <c r="AE48" s="12"/>
      <c r="AG48" s="662"/>
      <c r="AH48" s="673"/>
      <c r="AI48" s="12"/>
      <c r="AJ48" s="12"/>
      <c r="AK48" s="13"/>
      <c r="AL48" s="35">
        <f>+SUM(AL6,AL8,AL10,AL12,AL14,AL16,AL18,AL20,AL22,AL24,AL26,AL28,AL30,AL32,AL34,AL36,AL38,AL40,AL42,AL44,AL46)</f>
        <v>0</v>
      </c>
      <c r="AM48" s="12"/>
    </row>
    <row r="49" spans="1:7">
      <c r="A49" s="14"/>
      <c r="B49" s="14"/>
      <c r="C49" s="14"/>
      <c r="D49" s="14"/>
      <c r="E49" s="15"/>
      <c r="F49" s="15"/>
      <c r="G49" s="14"/>
    </row>
  </sheetData>
  <mergeCells count="240">
    <mergeCell ref="A2:B3"/>
    <mergeCell ref="C2:D3"/>
    <mergeCell ref="E2:F3"/>
    <mergeCell ref="G2:G3"/>
    <mergeCell ref="A5:A6"/>
    <mergeCell ref="B5:B6"/>
    <mergeCell ref="A15:A16"/>
    <mergeCell ref="B15:B16"/>
    <mergeCell ref="A17:A18"/>
    <mergeCell ref="B17:B18"/>
    <mergeCell ref="A7:A8"/>
    <mergeCell ref="B7:B8"/>
    <mergeCell ref="A9:A10"/>
    <mergeCell ref="B9:B10"/>
    <mergeCell ref="A11:A12"/>
    <mergeCell ref="B11:B12"/>
    <mergeCell ref="A47:A48"/>
    <mergeCell ref="B47:B48"/>
    <mergeCell ref="A37:A38"/>
    <mergeCell ref="B37:B38"/>
    <mergeCell ref="A39:A40"/>
    <mergeCell ref="B39:B40"/>
    <mergeCell ref="A41:A42"/>
    <mergeCell ref="B41:B42"/>
    <mergeCell ref="A31:A32"/>
    <mergeCell ref="B31:B32"/>
    <mergeCell ref="A33:A34"/>
    <mergeCell ref="B33:B34"/>
    <mergeCell ref="A35:A36"/>
    <mergeCell ref="B35:B36"/>
    <mergeCell ref="I2:J3"/>
    <mergeCell ref="K2:L3"/>
    <mergeCell ref="M2:N3"/>
    <mergeCell ref="O2:O3"/>
    <mergeCell ref="I5:I6"/>
    <mergeCell ref="J5:J6"/>
    <mergeCell ref="A43:A44"/>
    <mergeCell ref="B43:B44"/>
    <mergeCell ref="A45:A46"/>
    <mergeCell ref="B45:B46"/>
    <mergeCell ref="A25:A26"/>
    <mergeCell ref="B25:B26"/>
    <mergeCell ref="A27:A28"/>
    <mergeCell ref="B27:B28"/>
    <mergeCell ref="A29:A30"/>
    <mergeCell ref="B29:B30"/>
    <mergeCell ref="A19:A20"/>
    <mergeCell ref="B19:B20"/>
    <mergeCell ref="A21:A22"/>
    <mergeCell ref="B21:B22"/>
    <mergeCell ref="A23:A24"/>
    <mergeCell ref="B23:B24"/>
    <mergeCell ref="A13:A14"/>
    <mergeCell ref="B13:B14"/>
    <mergeCell ref="I15:I16"/>
    <mergeCell ref="J15:J16"/>
    <mergeCell ref="I17:I18"/>
    <mergeCell ref="J17:J18"/>
    <mergeCell ref="I7:I8"/>
    <mergeCell ref="J7:J8"/>
    <mergeCell ref="I9:I10"/>
    <mergeCell ref="J9:J10"/>
    <mergeCell ref="I11:I12"/>
    <mergeCell ref="J11:J12"/>
    <mergeCell ref="I47:I48"/>
    <mergeCell ref="J47:J48"/>
    <mergeCell ref="I37:I38"/>
    <mergeCell ref="J37:J38"/>
    <mergeCell ref="I39:I40"/>
    <mergeCell ref="J39:J40"/>
    <mergeCell ref="I41:I42"/>
    <mergeCell ref="J41:J42"/>
    <mergeCell ref="I31:I32"/>
    <mergeCell ref="J31:J32"/>
    <mergeCell ref="I33:I34"/>
    <mergeCell ref="J33:J34"/>
    <mergeCell ref="I35:I36"/>
    <mergeCell ref="J35:J36"/>
    <mergeCell ref="Q2:R3"/>
    <mergeCell ref="S2:T3"/>
    <mergeCell ref="U2:V3"/>
    <mergeCell ref="W2:W3"/>
    <mergeCell ref="Q5:Q6"/>
    <mergeCell ref="R5:R6"/>
    <mergeCell ref="I43:I44"/>
    <mergeCell ref="J43:J44"/>
    <mergeCell ref="I45:I46"/>
    <mergeCell ref="J45:J46"/>
    <mergeCell ref="I25:I26"/>
    <mergeCell ref="J25:J26"/>
    <mergeCell ref="I27:I28"/>
    <mergeCell ref="J27:J28"/>
    <mergeCell ref="I29:I30"/>
    <mergeCell ref="J29:J30"/>
    <mergeCell ref="I19:I20"/>
    <mergeCell ref="J19:J20"/>
    <mergeCell ref="I21:I22"/>
    <mergeCell ref="J21:J22"/>
    <mergeCell ref="I23:I24"/>
    <mergeCell ref="J23:J24"/>
    <mergeCell ref="I13:I14"/>
    <mergeCell ref="J13:J14"/>
    <mergeCell ref="Q15:Q16"/>
    <mergeCell ref="R15:R16"/>
    <mergeCell ref="Q17:Q18"/>
    <mergeCell ref="R17:R18"/>
    <mergeCell ref="Q7:Q8"/>
    <mergeCell ref="R7:R8"/>
    <mergeCell ref="Q9:Q10"/>
    <mergeCell ref="R9:R10"/>
    <mergeCell ref="Q11:Q12"/>
    <mergeCell ref="R11:R12"/>
    <mergeCell ref="Q47:Q48"/>
    <mergeCell ref="R47:R48"/>
    <mergeCell ref="Q37:Q38"/>
    <mergeCell ref="R37:R38"/>
    <mergeCell ref="Q39:Q40"/>
    <mergeCell ref="R39:R40"/>
    <mergeCell ref="Q41:Q42"/>
    <mergeCell ref="R41:R42"/>
    <mergeCell ref="Q31:Q32"/>
    <mergeCell ref="R31:R32"/>
    <mergeCell ref="Q33:Q34"/>
    <mergeCell ref="R33:R34"/>
    <mergeCell ref="Q35:Q36"/>
    <mergeCell ref="R35:R36"/>
    <mergeCell ref="Y2:Z3"/>
    <mergeCell ref="AA2:AB3"/>
    <mergeCell ref="AC2:AD3"/>
    <mergeCell ref="AE2:AE3"/>
    <mergeCell ref="Y5:Y6"/>
    <mergeCell ref="Z5:Z6"/>
    <mergeCell ref="Q43:Q44"/>
    <mergeCell ref="R43:R44"/>
    <mergeCell ref="Q45:Q46"/>
    <mergeCell ref="R45:R46"/>
    <mergeCell ref="Q25:Q26"/>
    <mergeCell ref="R25:R26"/>
    <mergeCell ref="Q27:Q28"/>
    <mergeCell ref="R27:R28"/>
    <mergeCell ref="Q29:Q30"/>
    <mergeCell ref="R29:R30"/>
    <mergeCell ref="Q19:Q20"/>
    <mergeCell ref="R19:R20"/>
    <mergeCell ref="Q21:Q22"/>
    <mergeCell ref="R21:R22"/>
    <mergeCell ref="Q23:Q24"/>
    <mergeCell ref="R23:R24"/>
    <mergeCell ref="Q13:Q14"/>
    <mergeCell ref="R13:R14"/>
    <mergeCell ref="Z15:Z16"/>
    <mergeCell ref="Y17:Y18"/>
    <mergeCell ref="Z17:Z18"/>
    <mergeCell ref="Y7:Y8"/>
    <mergeCell ref="Z7:Z8"/>
    <mergeCell ref="Y9:Y10"/>
    <mergeCell ref="Z9:Z10"/>
    <mergeCell ref="Y11:Y12"/>
    <mergeCell ref="Z11:Z12"/>
    <mergeCell ref="Y47:Y48"/>
    <mergeCell ref="Z47:Z48"/>
    <mergeCell ref="Y37:Y38"/>
    <mergeCell ref="Z37:Z38"/>
    <mergeCell ref="Y39:Y40"/>
    <mergeCell ref="Z39:Z40"/>
    <mergeCell ref="Y41:Y42"/>
    <mergeCell ref="Z41:Z42"/>
    <mergeCell ref="Y31:Y32"/>
    <mergeCell ref="Z31:Z32"/>
    <mergeCell ref="Y33:Y34"/>
    <mergeCell ref="Z33:Z34"/>
    <mergeCell ref="Y35:Y36"/>
    <mergeCell ref="Z35:Z36"/>
    <mergeCell ref="AI2:AJ3"/>
    <mergeCell ref="AK2:AL3"/>
    <mergeCell ref="AM2:AM3"/>
    <mergeCell ref="AG5:AG6"/>
    <mergeCell ref="AH5:AH6"/>
    <mergeCell ref="Y43:Y44"/>
    <mergeCell ref="Z43:Z44"/>
    <mergeCell ref="Y45:Y46"/>
    <mergeCell ref="Z45:Z46"/>
    <mergeCell ref="Y25:Y26"/>
    <mergeCell ref="Z25:Z26"/>
    <mergeCell ref="Y27:Y28"/>
    <mergeCell ref="Z27:Z28"/>
    <mergeCell ref="Y29:Y30"/>
    <mergeCell ref="Z29:Z30"/>
    <mergeCell ref="Y19:Y20"/>
    <mergeCell ref="Z19:Z20"/>
    <mergeCell ref="Y21:Y22"/>
    <mergeCell ref="Z21:Z22"/>
    <mergeCell ref="Y23:Y24"/>
    <mergeCell ref="Z23:Z24"/>
    <mergeCell ref="Y13:Y14"/>
    <mergeCell ref="Z13:Z14"/>
    <mergeCell ref="Y15:Y16"/>
    <mergeCell ref="AG17:AG18"/>
    <mergeCell ref="AH17:AH18"/>
    <mergeCell ref="AG7:AG8"/>
    <mergeCell ref="AH7:AH8"/>
    <mergeCell ref="AG9:AG10"/>
    <mergeCell ref="AH9:AH10"/>
    <mergeCell ref="AG11:AG12"/>
    <mergeCell ref="AH11:AH12"/>
    <mergeCell ref="AG2:AH3"/>
    <mergeCell ref="AG19:AG20"/>
    <mergeCell ref="AH19:AH20"/>
    <mergeCell ref="AG21:AG22"/>
    <mergeCell ref="AH21:AH22"/>
    <mergeCell ref="AG23:AG24"/>
    <mergeCell ref="AH23:AH24"/>
    <mergeCell ref="AG13:AG14"/>
    <mergeCell ref="AH13:AH14"/>
    <mergeCell ref="AG47:AG48"/>
    <mergeCell ref="AH47:AH48"/>
    <mergeCell ref="AG37:AG38"/>
    <mergeCell ref="AH37:AH38"/>
    <mergeCell ref="AG39:AG40"/>
    <mergeCell ref="AH39:AH40"/>
    <mergeCell ref="AG41:AG42"/>
    <mergeCell ref="AH41:AH42"/>
    <mergeCell ref="AG31:AG32"/>
    <mergeCell ref="AH31:AH32"/>
    <mergeCell ref="AG33:AG34"/>
    <mergeCell ref="AH33:AH34"/>
    <mergeCell ref="AG35:AG36"/>
    <mergeCell ref="AH35:AH36"/>
    <mergeCell ref="AG15:AG16"/>
    <mergeCell ref="AH15:AH16"/>
    <mergeCell ref="AG43:AG44"/>
    <mergeCell ref="AH43:AH44"/>
    <mergeCell ref="AG45:AG46"/>
    <mergeCell ref="AH45:AH46"/>
    <mergeCell ref="AG25:AG26"/>
    <mergeCell ref="AH25:AH26"/>
    <mergeCell ref="AG27:AG28"/>
    <mergeCell ref="AH27:AH28"/>
    <mergeCell ref="AG29:AG30"/>
    <mergeCell ref="AH29:AH30"/>
  </mergeCells>
  <phoneticPr fontId="3"/>
  <printOptions horizontalCentered="1"/>
  <pageMargins left="0.78740157480314965" right="0.19685039370078741" top="0.74803149606299213" bottom="0.74803149606299213"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W151"/>
  <sheetViews>
    <sheetView showGridLines="0" view="pageBreakPreview" zoomScaleNormal="100" zoomScaleSheetLayoutView="100" workbookViewId="0">
      <selection activeCell="M17" sqref="M17"/>
    </sheetView>
  </sheetViews>
  <sheetFormatPr defaultRowHeight="18.75"/>
  <cols>
    <col min="2" max="49" width="2.625" customWidth="1"/>
  </cols>
  <sheetData>
    <row r="1" spans="1:49">
      <c r="A1" s="298" t="s">
        <v>476</v>
      </c>
    </row>
    <row r="2" spans="1:49" ht="15" customHeight="1">
      <c r="B2" s="596" t="s">
        <v>443</v>
      </c>
      <c r="C2" s="536"/>
      <c r="D2" s="536"/>
      <c r="E2" s="536"/>
      <c r="F2" s="536"/>
      <c r="G2" s="536"/>
      <c r="H2" s="536"/>
      <c r="I2" s="536"/>
      <c r="J2" s="536"/>
      <c r="K2" s="536"/>
      <c r="L2" s="536"/>
      <c r="M2" s="536"/>
      <c r="N2" s="536"/>
      <c r="O2" s="536"/>
      <c r="P2" s="536"/>
      <c r="Q2" s="536"/>
      <c r="R2" s="536"/>
      <c r="S2" s="536"/>
      <c r="T2" s="536"/>
      <c r="U2" s="536"/>
      <c r="V2" s="536"/>
      <c r="W2" s="536"/>
      <c r="X2" s="536"/>
      <c r="Y2" s="597"/>
      <c r="Z2" s="596" t="s">
        <v>444</v>
      </c>
      <c r="AA2" s="536"/>
      <c r="AB2" s="536"/>
      <c r="AC2" s="536"/>
      <c r="AD2" s="536"/>
      <c r="AE2" s="536"/>
      <c r="AF2" s="536"/>
      <c r="AG2" s="536"/>
      <c r="AH2" s="536"/>
      <c r="AI2" s="536"/>
      <c r="AJ2" s="536"/>
      <c r="AK2" s="536"/>
      <c r="AL2" s="536"/>
      <c r="AM2" s="536"/>
      <c r="AN2" s="536"/>
      <c r="AO2" s="536"/>
      <c r="AP2" s="536"/>
      <c r="AQ2" s="536"/>
      <c r="AR2" s="536"/>
      <c r="AS2" s="536"/>
      <c r="AT2" s="536"/>
      <c r="AU2" s="536"/>
      <c r="AV2" s="536"/>
      <c r="AW2" s="597"/>
    </row>
    <row r="3" spans="1:49" ht="15" customHeight="1" thickBot="1">
      <c r="A3" t="s">
        <v>445</v>
      </c>
      <c r="B3" s="598"/>
      <c r="C3" s="599"/>
      <c r="D3" s="599"/>
      <c r="E3" s="599"/>
      <c r="F3" s="599"/>
      <c r="G3" s="599"/>
      <c r="H3" s="599"/>
      <c r="I3" s="599"/>
      <c r="J3" s="599"/>
      <c r="K3" s="599"/>
      <c r="L3" s="599"/>
      <c r="M3" s="599"/>
      <c r="N3" s="599"/>
      <c r="O3" s="599"/>
      <c r="P3" s="599"/>
      <c r="Q3" s="599"/>
      <c r="R3" s="599"/>
      <c r="S3" s="599"/>
      <c r="T3" s="599"/>
      <c r="U3" s="599"/>
      <c r="V3" s="599"/>
      <c r="W3" s="599"/>
      <c r="X3" s="599"/>
      <c r="Y3" s="600"/>
      <c r="Z3" s="598"/>
      <c r="AA3" s="599"/>
      <c r="AB3" s="599"/>
      <c r="AC3" s="599"/>
      <c r="AD3" s="599"/>
      <c r="AE3" s="599"/>
      <c r="AF3" s="599"/>
      <c r="AG3" s="599"/>
      <c r="AH3" s="599"/>
      <c r="AI3" s="599"/>
      <c r="AJ3" s="599"/>
      <c r="AK3" s="599"/>
      <c r="AL3" s="599"/>
      <c r="AM3" s="599"/>
      <c r="AN3" s="599"/>
      <c r="AO3" s="599"/>
      <c r="AP3" s="599"/>
      <c r="AQ3" s="599"/>
      <c r="AR3" s="599"/>
      <c r="AS3" s="599"/>
      <c r="AT3" s="599"/>
      <c r="AU3" s="599"/>
      <c r="AV3" s="599"/>
      <c r="AW3" s="600"/>
    </row>
    <row r="4" spans="1:49" ht="15" customHeight="1" thickTop="1">
      <c r="B4" s="289"/>
      <c r="C4" s="50"/>
      <c r="D4" s="50"/>
      <c r="E4" s="50"/>
      <c r="F4" s="50"/>
      <c r="G4" s="50"/>
      <c r="H4" s="50"/>
      <c r="I4" s="50"/>
      <c r="J4" s="50"/>
      <c r="K4" s="50"/>
      <c r="L4" s="50"/>
      <c r="M4" s="50"/>
      <c r="N4" s="50"/>
      <c r="O4" s="50"/>
      <c r="P4" s="50"/>
      <c r="Q4" s="50"/>
      <c r="R4" s="50"/>
      <c r="S4" s="50"/>
      <c r="T4" s="50"/>
      <c r="U4" s="50"/>
      <c r="V4" s="50"/>
      <c r="W4" s="50"/>
      <c r="X4" s="50"/>
      <c r="Y4" s="290"/>
      <c r="Z4" s="50"/>
      <c r="AA4" s="50"/>
      <c r="AB4" s="50"/>
      <c r="AC4" s="50"/>
      <c r="AD4" s="50"/>
      <c r="AE4" s="50"/>
      <c r="AF4" s="50"/>
      <c r="AG4" s="50"/>
      <c r="AH4" s="50"/>
      <c r="AI4" s="50"/>
      <c r="AJ4" s="50"/>
      <c r="AK4" s="50"/>
      <c r="AL4" s="50"/>
      <c r="AM4" s="50"/>
      <c r="AN4" s="50"/>
      <c r="AO4" s="50"/>
      <c r="AP4" s="50"/>
      <c r="AQ4" s="50"/>
      <c r="AR4" s="50"/>
      <c r="AS4" s="50"/>
      <c r="AT4" s="50"/>
      <c r="AU4" s="50"/>
      <c r="AV4" s="50"/>
      <c r="AW4" s="290"/>
    </row>
    <row r="5" spans="1:49" ht="15" customHeight="1">
      <c r="B5" s="160" t="s">
        <v>916</v>
      </c>
      <c r="C5" s="291"/>
      <c r="D5" s="291"/>
      <c r="E5" s="291"/>
      <c r="F5" s="291"/>
      <c r="G5" s="291"/>
      <c r="H5" s="291"/>
      <c r="I5" s="291"/>
      <c r="J5" s="291"/>
      <c r="K5" s="291"/>
      <c r="L5" s="291"/>
      <c r="M5" s="291"/>
      <c r="N5" s="291"/>
      <c r="O5" s="291"/>
      <c r="P5" s="291"/>
      <c r="Q5" s="291"/>
      <c r="R5" s="291"/>
      <c r="S5" s="291"/>
      <c r="T5" s="291"/>
      <c r="U5" s="291"/>
      <c r="V5" s="291"/>
      <c r="W5" s="291"/>
      <c r="X5" s="291"/>
      <c r="Y5" s="292"/>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2"/>
    </row>
    <row r="6" spans="1:49" ht="15" customHeight="1">
      <c r="B6" s="160"/>
      <c r="C6" s="291"/>
      <c r="D6" s="291"/>
      <c r="E6" s="291"/>
      <c r="F6" s="291"/>
      <c r="G6" s="291"/>
      <c r="H6" s="291"/>
      <c r="I6" s="291"/>
      <c r="J6" s="291"/>
      <c r="K6" s="291"/>
      <c r="L6" s="291"/>
      <c r="M6" s="291"/>
      <c r="N6" s="291"/>
      <c r="O6" s="291"/>
      <c r="P6" s="291"/>
      <c r="Q6" s="291"/>
      <c r="R6" s="291"/>
      <c r="S6" s="291"/>
      <c r="T6" s="291"/>
      <c r="U6" s="291"/>
      <c r="V6" s="291"/>
      <c r="W6" s="291"/>
      <c r="X6" s="291"/>
      <c r="Y6" s="292"/>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2"/>
    </row>
    <row r="7" spans="1:49" ht="15" customHeight="1">
      <c r="B7" s="160"/>
      <c r="C7" s="291" t="s">
        <v>446</v>
      </c>
      <c r="D7" s="291"/>
      <c r="E7" s="291"/>
      <c r="F7" s="291"/>
      <c r="G7" s="291"/>
      <c r="H7" s="291"/>
      <c r="I7" s="291"/>
      <c r="J7" s="291"/>
      <c r="K7" s="291"/>
      <c r="L7" s="291"/>
      <c r="M7" s="291"/>
      <c r="N7" s="291"/>
      <c r="O7" s="291"/>
      <c r="P7" s="291"/>
      <c r="Q7" s="291"/>
      <c r="R7" s="291"/>
      <c r="S7" s="291"/>
      <c r="T7" s="291"/>
      <c r="U7" s="291"/>
      <c r="V7" s="291"/>
      <c r="W7" s="291"/>
      <c r="X7" s="291"/>
      <c r="Y7" s="292"/>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2"/>
    </row>
    <row r="8" spans="1:49" ht="15" customHeight="1">
      <c r="B8" s="160"/>
      <c r="C8" s="291" t="s">
        <v>447</v>
      </c>
      <c r="D8" s="291"/>
      <c r="E8" s="291"/>
      <c r="F8" s="291"/>
      <c r="G8" s="291"/>
      <c r="H8" s="291"/>
      <c r="I8" s="291"/>
      <c r="J8" s="291"/>
      <c r="K8" s="291"/>
      <c r="L8" s="291" t="s">
        <v>572</v>
      </c>
      <c r="M8" s="291"/>
      <c r="N8" s="291"/>
      <c r="O8" s="291"/>
      <c r="P8" s="291"/>
      <c r="Q8" s="291"/>
      <c r="R8" s="291" t="s">
        <v>571</v>
      </c>
      <c r="S8" s="291"/>
      <c r="T8" s="291"/>
      <c r="U8" s="291"/>
      <c r="V8" s="291"/>
      <c r="W8" s="291"/>
      <c r="X8" s="291"/>
      <c r="Y8" s="292"/>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2"/>
    </row>
    <row r="9" spans="1:49" ht="15" customHeight="1">
      <c r="B9" s="160"/>
      <c r="C9" s="291"/>
      <c r="D9" s="291"/>
      <c r="E9" s="291" t="s">
        <v>915</v>
      </c>
      <c r="F9" s="291"/>
      <c r="G9" s="291"/>
      <c r="H9" s="291"/>
      <c r="I9" s="291"/>
      <c r="J9" s="291"/>
      <c r="K9" s="291"/>
      <c r="L9" s="291"/>
      <c r="M9" s="291"/>
      <c r="N9" s="291"/>
      <c r="O9" s="291"/>
      <c r="P9" s="291"/>
      <c r="Q9" s="291"/>
      <c r="R9" s="291"/>
      <c r="S9" s="291"/>
      <c r="T9" s="291"/>
      <c r="U9" s="291"/>
      <c r="V9" s="291"/>
      <c r="W9" s="291"/>
      <c r="X9" s="291"/>
      <c r="Y9" s="292"/>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2"/>
    </row>
    <row r="10" spans="1:49" ht="15" customHeight="1">
      <c r="B10" s="160"/>
      <c r="C10" s="291"/>
      <c r="D10" s="291"/>
      <c r="E10" s="291" t="s">
        <v>914</v>
      </c>
      <c r="F10" s="291"/>
      <c r="G10" s="291"/>
      <c r="H10" s="291"/>
      <c r="I10" s="291"/>
      <c r="J10" s="291"/>
      <c r="K10" s="291"/>
      <c r="L10" s="291"/>
      <c r="M10" s="291"/>
      <c r="N10" s="291"/>
      <c r="O10" s="291"/>
      <c r="P10" s="291"/>
      <c r="Q10" s="291"/>
      <c r="R10" s="291"/>
      <c r="S10" s="291"/>
      <c r="T10" s="291"/>
      <c r="U10" s="291"/>
      <c r="V10" s="291"/>
      <c r="W10" s="291"/>
      <c r="X10" s="291"/>
      <c r="Y10" s="292"/>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2"/>
    </row>
    <row r="11" spans="1:49" ht="15" customHeight="1">
      <c r="B11" s="160"/>
      <c r="C11" s="291"/>
      <c r="D11" s="291"/>
      <c r="E11" s="291"/>
      <c r="F11" s="291"/>
      <c r="G11" s="291"/>
      <c r="H11" s="291"/>
      <c r="I11" s="291"/>
      <c r="J11" s="291"/>
      <c r="K11" s="291"/>
      <c r="L11" s="291"/>
      <c r="M11" s="291"/>
      <c r="N11" s="291"/>
      <c r="O11" s="291"/>
      <c r="P11" s="291"/>
      <c r="Q11" s="291"/>
      <c r="R11" s="291"/>
      <c r="S11" s="291"/>
      <c r="T11" s="291"/>
      <c r="U11" s="291"/>
      <c r="V11" s="291"/>
      <c r="W11" s="291"/>
      <c r="X11" s="291"/>
      <c r="Y11" s="292"/>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2"/>
    </row>
    <row r="12" spans="1:49" ht="15" customHeight="1">
      <c r="B12" s="160"/>
      <c r="C12" s="291"/>
      <c r="D12" s="291"/>
      <c r="E12" s="291"/>
      <c r="F12" s="291"/>
      <c r="G12" s="291"/>
      <c r="H12" s="291"/>
      <c r="I12" s="291"/>
      <c r="J12" s="291"/>
      <c r="K12" s="291"/>
      <c r="L12" s="291"/>
      <c r="M12" s="291"/>
      <c r="N12" s="291"/>
      <c r="O12" s="291"/>
      <c r="P12" s="291"/>
      <c r="Q12" s="291"/>
      <c r="R12" s="291"/>
      <c r="S12" s="291"/>
      <c r="T12" s="291"/>
      <c r="U12" s="291"/>
      <c r="V12" s="291"/>
      <c r="W12" s="291"/>
      <c r="X12" s="291"/>
      <c r="Y12" s="292"/>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2"/>
    </row>
    <row r="13" spans="1:49" ht="15" customHeight="1">
      <c r="B13" s="160"/>
      <c r="C13" s="291"/>
      <c r="D13" s="291"/>
      <c r="E13" s="291"/>
      <c r="F13" s="291"/>
      <c r="G13" s="291"/>
      <c r="H13" s="291"/>
      <c r="I13" s="291"/>
      <c r="J13" s="291"/>
      <c r="K13" s="291"/>
      <c r="L13" s="291"/>
      <c r="M13" s="291"/>
      <c r="N13" s="291"/>
      <c r="O13" s="291"/>
      <c r="P13" s="291"/>
      <c r="Q13" s="291"/>
      <c r="R13" s="291"/>
      <c r="S13" s="291"/>
      <c r="T13" s="291"/>
      <c r="U13" s="291"/>
      <c r="V13" s="291"/>
      <c r="W13" s="291"/>
      <c r="X13" s="291"/>
      <c r="Y13" s="292"/>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2"/>
    </row>
    <row r="14" spans="1:49" ht="15" customHeight="1">
      <c r="B14" s="160"/>
      <c r="C14" s="291"/>
      <c r="D14" s="291"/>
      <c r="E14" s="291"/>
      <c r="F14" s="291"/>
      <c r="G14" s="291"/>
      <c r="H14" s="291"/>
      <c r="I14" s="291"/>
      <c r="J14" s="291"/>
      <c r="K14" s="291"/>
      <c r="L14" s="291"/>
      <c r="M14" s="291"/>
      <c r="N14" s="291"/>
      <c r="O14" s="291"/>
      <c r="P14" s="291"/>
      <c r="Q14" s="291"/>
      <c r="R14" s="291"/>
      <c r="S14" s="291"/>
      <c r="T14" s="291"/>
      <c r="U14" s="291"/>
      <c r="V14" s="291"/>
      <c r="W14" s="291"/>
      <c r="X14" s="291"/>
      <c r="Y14" s="292"/>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2"/>
    </row>
    <row r="15" spans="1:49" ht="15" customHeight="1">
      <c r="B15" s="160"/>
      <c r="C15" s="291"/>
      <c r="D15" s="291"/>
      <c r="E15" s="291"/>
      <c r="F15" s="291"/>
      <c r="G15" s="291"/>
      <c r="H15" s="291"/>
      <c r="I15" s="291"/>
      <c r="J15" s="291"/>
      <c r="K15" s="291"/>
      <c r="L15" s="291"/>
      <c r="M15" s="291"/>
      <c r="N15" s="291"/>
      <c r="O15" s="291"/>
      <c r="P15" s="291"/>
      <c r="Q15" s="291"/>
      <c r="R15" s="291"/>
      <c r="S15" s="291"/>
      <c r="T15" s="291"/>
      <c r="U15" s="291"/>
      <c r="V15" s="291"/>
      <c r="W15" s="291"/>
      <c r="X15" s="291"/>
      <c r="Y15" s="292"/>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2"/>
    </row>
    <row r="16" spans="1:49" ht="15" customHeight="1">
      <c r="B16" s="160"/>
      <c r="C16" s="291"/>
      <c r="D16" s="291"/>
      <c r="E16" s="291"/>
      <c r="F16" s="291"/>
      <c r="G16" s="291"/>
      <c r="H16" s="291"/>
      <c r="I16" s="291"/>
      <c r="J16" s="291"/>
      <c r="K16" s="291"/>
      <c r="L16" s="291"/>
      <c r="M16" s="291"/>
      <c r="N16" s="291"/>
      <c r="O16" s="291"/>
      <c r="P16" s="291"/>
      <c r="Q16" s="291"/>
      <c r="R16" s="291"/>
      <c r="S16" s="291"/>
      <c r="T16" s="291"/>
      <c r="U16" s="291"/>
      <c r="V16" s="291"/>
      <c r="W16" s="291"/>
      <c r="X16" s="291"/>
      <c r="Y16" s="292"/>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2"/>
    </row>
    <row r="17" spans="2:49" ht="15" customHeight="1">
      <c r="B17" s="160"/>
      <c r="C17" s="291"/>
      <c r="D17" s="291"/>
      <c r="E17" s="291"/>
      <c r="F17" s="291"/>
      <c r="G17" s="291"/>
      <c r="H17" s="291"/>
      <c r="I17" s="291"/>
      <c r="J17" s="291"/>
      <c r="K17" s="291"/>
      <c r="L17" s="291"/>
      <c r="M17" s="291"/>
      <c r="N17" s="291"/>
      <c r="O17" s="291"/>
      <c r="P17" s="291"/>
      <c r="Q17" s="291"/>
      <c r="R17" s="291"/>
      <c r="S17" s="291"/>
      <c r="T17" s="291"/>
      <c r="U17" s="291"/>
      <c r="V17" s="291"/>
      <c r="W17" s="291"/>
      <c r="X17" s="291"/>
      <c r="Y17" s="292"/>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2"/>
    </row>
    <row r="18" spans="2:49" ht="15" customHeight="1">
      <c r="B18" s="160"/>
      <c r="C18" s="291"/>
      <c r="D18" s="291"/>
      <c r="E18" s="291"/>
      <c r="F18" s="291"/>
      <c r="G18" s="291"/>
      <c r="H18" s="291"/>
      <c r="I18" s="291"/>
      <c r="J18" s="291"/>
      <c r="K18" s="291"/>
      <c r="L18" s="291"/>
      <c r="M18" s="291"/>
      <c r="N18" s="291"/>
      <c r="O18" s="291"/>
      <c r="P18" s="291"/>
      <c r="Q18" s="291"/>
      <c r="R18" s="291"/>
      <c r="S18" s="291"/>
      <c r="T18" s="291"/>
      <c r="U18" s="291"/>
      <c r="V18" s="291"/>
      <c r="W18" s="291"/>
      <c r="X18" s="291"/>
      <c r="Y18" s="292"/>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2"/>
    </row>
    <row r="19" spans="2:49" ht="15" customHeight="1">
      <c r="B19" s="160"/>
      <c r="C19" s="291"/>
      <c r="D19" s="291"/>
      <c r="E19" s="291"/>
      <c r="F19" s="291"/>
      <c r="G19" s="291"/>
      <c r="H19" s="291"/>
      <c r="I19" s="291"/>
      <c r="J19" s="291"/>
      <c r="K19" s="291"/>
      <c r="L19" s="291"/>
      <c r="M19" s="291"/>
      <c r="N19" s="291"/>
      <c r="O19" s="291"/>
      <c r="P19" s="291"/>
      <c r="Q19" s="291"/>
      <c r="R19" s="291"/>
      <c r="S19" s="291"/>
      <c r="T19" s="291"/>
      <c r="U19" s="291"/>
      <c r="V19" s="291"/>
      <c r="W19" s="291"/>
      <c r="X19" s="291"/>
      <c r="Y19" s="292"/>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2"/>
    </row>
    <row r="20" spans="2:49" ht="15" customHeight="1">
      <c r="B20" s="160"/>
      <c r="C20" s="291"/>
      <c r="D20" s="291"/>
      <c r="E20" s="291"/>
      <c r="F20" s="291"/>
      <c r="G20" s="291"/>
      <c r="H20" s="291"/>
      <c r="I20" s="291"/>
      <c r="J20" s="291"/>
      <c r="K20" s="291"/>
      <c r="L20" s="291"/>
      <c r="M20" s="291"/>
      <c r="N20" s="291"/>
      <c r="O20" s="291"/>
      <c r="P20" s="291"/>
      <c r="Q20" s="291"/>
      <c r="R20" s="291"/>
      <c r="S20" s="291"/>
      <c r="T20" s="291"/>
      <c r="U20" s="291"/>
      <c r="V20" s="291"/>
      <c r="W20" s="291"/>
      <c r="X20" s="291"/>
      <c r="Y20" s="292"/>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2"/>
    </row>
    <row r="21" spans="2:49" ht="15" customHeight="1">
      <c r="B21" s="160"/>
      <c r="C21" s="291"/>
      <c r="D21" s="291"/>
      <c r="E21" s="291"/>
      <c r="F21" s="291"/>
      <c r="G21" s="291"/>
      <c r="H21" s="291"/>
      <c r="I21" s="291"/>
      <c r="J21" s="291"/>
      <c r="K21" s="291"/>
      <c r="L21" s="291"/>
      <c r="M21" s="291"/>
      <c r="N21" s="291"/>
      <c r="O21" s="291"/>
      <c r="P21" s="291"/>
      <c r="Q21" s="291"/>
      <c r="R21" s="291"/>
      <c r="S21" s="291"/>
      <c r="T21" s="291"/>
      <c r="U21" s="291"/>
      <c r="V21" s="291"/>
      <c r="W21" s="291"/>
      <c r="X21" s="291"/>
      <c r="Y21" s="292"/>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2"/>
    </row>
    <row r="22" spans="2:49" ht="15" customHeight="1">
      <c r="B22" s="160"/>
      <c r="C22" s="291"/>
      <c r="D22" s="291"/>
      <c r="E22" s="291"/>
      <c r="F22" s="291"/>
      <c r="G22" s="291"/>
      <c r="H22" s="291"/>
      <c r="I22" s="291"/>
      <c r="J22" s="291"/>
      <c r="K22" s="291"/>
      <c r="L22" s="291"/>
      <c r="M22" s="291"/>
      <c r="N22" s="291"/>
      <c r="O22" s="291"/>
      <c r="P22" s="291"/>
      <c r="Q22" s="291"/>
      <c r="R22" s="291"/>
      <c r="S22" s="291"/>
      <c r="T22" s="291"/>
      <c r="U22" s="291"/>
      <c r="V22" s="291"/>
      <c r="W22" s="291"/>
      <c r="X22" s="291"/>
      <c r="Y22" s="292"/>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2"/>
    </row>
    <row r="23" spans="2:49" ht="15" customHeight="1">
      <c r="B23" s="160"/>
      <c r="C23" s="291"/>
      <c r="D23" s="291"/>
      <c r="E23" s="291"/>
      <c r="F23" s="291"/>
      <c r="G23" s="291"/>
      <c r="H23" s="291"/>
      <c r="I23" s="291"/>
      <c r="J23" s="291"/>
      <c r="K23" s="291"/>
      <c r="L23" s="291"/>
      <c r="M23" s="291"/>
      <c r="N23" s="291"/>
      <c r="O23" s="291"/>
      <c r="P23" s="291"/>
      <c r="Q23" s="291"/>
      <c r="R23" s="291"/>
      <c r="S23" s="291"/>
      <c r="T23" s="291"/>
      <c r="U23" s="291"/>
      <c r="V23" s="291"/>
      <c r="W23" s="291"/>
      <c r="X23" s="293"/>
      <c r="Y23" s="292"/>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2"/>
    </row>
    <row r="24" spans="2:49" ht="15" customHeight="1">
      <c r="B24" s="160"/>
      <c r="C24" s="291"/>
      <c r="D24" s="291"/>
      <c r="E24" s="291"/>
      <c r="F24" s="291"/>
      <c r="G24" s="291"/>
      <c r="H24" s="291"/>
      <c r="I24" s="291"/>
      <c r="J24" s="291"/>
      <c r="K24" s="291"/>
      <c r="L24" s="291"/>
      <c r="M24" s="291"/>
      <c r="N24" s="291"/>
      <c r="O24" s="291"/>
      <c r="P24" s="291"/>
      <c r="Q24" s="291"/>
      <c r="R24" s="291"/>
      <c r="S24" s="291"/>
      <c r="T24" s="291"/>
      <c r="U24" s="291"/>
      <c r="V24" s="291"/>
      <c r="W24" s="291"/>
      <c r="X24" s="291"/>
      <c r="Y24" s="292"/>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2"/>
    </row>
    <row r="25" spans="2:49" ht="15" customHeight="1">
      <c r="B25" s="160"/>
      <c r="C25" s="291"/>
      <c r="D25" s="291"/>
      <c r="E25" s="291"/>
      <c r="F25" s="291"/>
      <c r="G25" s="291"/>
      <c r="H25" s="291"/>
      <c r="I25" s="291"/>
      <c r="J25" s="291"/>
      <c r="K25" s="291"/>
      <c r="L25" s="291"/>
      <c r="M25" s="291"/>
      <c r="N25" s="291"/>
      <c r="O25" s="291"/>
      <c r="P25" s="291"/>
      <c r="Q25" s="291"/>
      <c r="R25" s="291"/>
      <c r="S25" s="291"/>
      <c r="T25" s="291"/>
      <c r="U25" s="291"/>
      <c r="V25" s="291"/>
      <c r="W25" s="291"/>
      <c r="X25" s="291"/>
      <c r="Y25" s="292"/>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2"/>
    </row>
    <row r="26" spans="2:49" ht="15" customHeight="1">
      <c r="B26" s="160"/>
      <c r="C26" s="291"/>
      <c r="D26" s="291"/>
      <c r="E26" s="291"/>
      <c r="F26" s="291"/>
      <c r="G26" s="291"/>
      <c r="H26" s="291"/>
      <c r="I26" s="291"/>
      <c r="J26" s="291"/>
      <c r="K26" s="291"/>
      <c r="L26" s="291"/>
      <c r="M26" s="291"/>
      <c r="N26" s="291"/>
      <c r="O26" s="291"/>
      <c r="P26" s="291"/>
      <c r="Q26" s="291"/>
      <c r="R26" s="291"/>
      <c r="S26" s="291"/>
      <c r="T26" s="291"/>
      <c r="U26" s="291"/>
      <c r="V26" s="291"/>
      <c r="W26" s="291"/>
      <c r="X26" s="291"/>
      <c r="Y26" s="292"/>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2"/>
    </row>
    <row r="27" spans="2:49" ht="15" customHeight="1">
      <c r="B27" s="160"/>
      <c r="C27" s="291"/>
      <c r="D27" s="291"/>
      <c r="E27" s="291"/>
      <c r="F27" s="291"/>
      <c r="G27" s="291"/>
      <c r="H27" s="291"/>
      <c r="I27" s="291"/>
      <c r="J27" s="291"/>
      <c r="K27" s="291"/>
      <c r="L27" s="291"/>
      <c r="M27" s="291"/>
      <c r="N27" s="291"/>
      <c r="O27" s="291"/>
      <c r="P27" s="291"/>
      <c r="Q27" s="291"/>
      <c r="R27" s="291"/>
      <c r="S27" s="291"/>
      <c r="T27" s="291"/>
      <c r="U27" s="291"/>
      <c r="V27" s="291"/>
      <c r="W27" s="291"/>
      <c r="X27" s="291"/>
      <c r="Y27" s="292"/>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2"/>
    </row>
    <row r="28" spans="2:49" ht="15" customHeight="1">
      <c r="B28" s="160"/>
      <c r="C28" s="291"/>
      <c r="D28" s="291"/>
      <c r="E28" s="291"/>
      <c r="F28" s="291"/>
      <c r="G28" s="291"/>
      <c r="H28" s="291"/>
      <c r="I28" s="291"/>
      <c r="J28" s="291"/>
      <c r="K28" s="291"/>
      <c r="L28" s="291"/>
      <c r="M28" s="291"/>
      <c r="N28" s="291"/>
      <c r="O28" s="291"/>
      <c r="P28" s="291"/>
      <c r="Q28" s="291"/>
      <c r="R28" s="291"/>
      <c r="S28" s="291"/>
      <c r="T28" s="291"/>
      <c r="U28" s="291"/>
      <c r="V28" s="291"/>
      <c r="W28" s="291"/>
      <c r="X28" s="291"/>
      <c r="Y28" s="292"/>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2"/>
    </row>
    <row r="29" spans="2:49" ht="15" customHeight="1">
      <c r="B29" s="160"/>
      <c r="C29" s="291"/>
      <c r="D29" s="291"/>
      <c r="E29" s="291"/>
      <c r="F29" s="291"/>
      <c r="G29" s="291"/>
      <c r="H29" s="291"/>
      <c r="I29" s="291"/>
      <c r="J29" s="291"/>
      <c r="K29" s="291"/>
      <c r="L29" s="291"/>
      <c r="M29" s="291"/>
      <c r="N29" s="291"/>
      <c r="O29" s="291"/>
      <c r="P29" s="291"/>
      <c r="Q29" s="291"/>
      <c r="R29" s="291"/>
      <c r="S29" s="291"/>
      <c r="T29" s="291"/>
      <c r="U29" s="291"/>
      <c r="V29" s="291"/>
      <c r="W29" s="291"/>
      <c r="X29" s="291"/>
      <c r="Y29" s="292"/>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2"/>
    </row>
    <row r="30" spans="2:49" ht="15" customHeight="1">
      <c r="B30" s="160"/>
      <c r="C30" s="291"/>
      <c r="D30" s="291"/>
      <c r="E30" s="291"/>
      <c r="F30" s="291"/>
      <c r="G30" s="291"/>
      <c r="H30" s="291"/>
      <c r="I30" s="291"/>
      <c r="J30" s="291"/>
      <c r="K30" s="291"/>
      <c r="L30" s="291"/>
      <c r="M30" s="291"/>
      <c r="N30" s="291"/>
      <c r="O30" s="291"/>
      <c r="P30" s="291"/>
      <c r="Q30" s="291"/>
      <c r="R30" s="291"/>
      <c r="S30" s="291"/>
      <c r="T30" s="291"/>
      <c r="U30" s="291"/>
      <c r="V30" s="291"/>
      <c r="W30" s="291"/>
      <c r="X30" s="291"/>
      <c r="Y30" s="292"/>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2"/>
    </row>
    <row r="31" spans="2:49" ht="15" customHeight="1">
      <c r="B31" s="160"/>
      <c r="C31" s="291"/>
      <c r="D31" s="291"/>
      <c r="E31" s="291"/>
      <c r="F31" s="291"/>
      <c r="G31" s="291"/>
      <c r="H31" s="291"/>
      <c r="I31" s="291"/>
      <c r="J31" s="291"/>
      <c r="K31" s="291"/>
      <c r="L31" s="291"/>
      <c r="M31" s="291"/>
      <c r="N31" s="291"/>
      <c r="O31" s="291"/>
      <c r="P31" s="291"/>
      <c r="Q31" s="291"/>
      <c r="R31" s="291"/>
      <c r="S31" s="291"/>
      <c r="T31" s="291"/>
      <c r="U31" s="291"/>
      <c r="V31" s="291"/>
      <c r="W31" s="291"/>
      <c r="X31" s="291"/>
      <c r="Y31" s="292"/>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2"/>
    </row>
    <row r="32" spans="2:49" ht="15" customHeight="1">
      <c r="B32" s="160"/>
      <c r="C32" s="291"/>
      <c r="D32" s="291"/>
      <c r="E32" s="291"/>
      <c r="F32" s="291"/>
      <c r="G32" s="291"/>
      <c r="H32" s="291"/>
      <c r="I32" s="291"/>
      <c r="J32" s="291"/>
      <c r="K32" s="291"/>
      <c r="L32" s="291"/>
      <c r="M32" s="291"/>
      <c r="N32" s="291"/>
      <c r="O32" s="291"/>
      <c r="P32" s="291"/>
      <c r="Q32" s="291"/>
      <c r="R32" s="291"/>
      <c r="S32" s="291"/>
      <c r="T32" s="291"/>
      <c r="U32" s="291"/>
      <c r="V32" s="291"/>
      <c r="W32" s="291"/>
      <c r="X32" s="293"/>
      <c r="Y32" s="292"/>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2"/>
    </row>
    <row r="33" spans="2:49" ht="15" customHeight="1">
      <c r="B33" s="160"/>
      <c r="C33" s="291"/>
      <c r="D33" s="291"/>
      <c r="E33" s="291"/>
      <c r="F33" s="291"/>
      <c r="G33" s="291"/>
      <c r="H33" s="291"/>
      <c r="I33" s="291"/>
      <c r="J33" s="291"/>
      <c r="K33" s="291"/>
      <c r="L33" s="291"/>
      <c r="M33" s="291"/>
      <c r="N33" s="291"/>
      <c r="O33" s="291"/>
      <c r="P33" s="291"/>
      <c r="Q33" s="291"/>
      <c r="R33" s="291"/>
      <c r="S33" s="291"/>
      <c r="T33" s="291"/>
      <c r="U33" s="291"/>
      <c r="V33" s="291"/>
      <c r="W33" s="291"/>
      <c r="X33" s="291"/>
      <c r="Y33" s="292"/>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2"/>
    </row>
    <row r="34" spans="2:49" ht="15" customHeight="1">
      <c r="B34" s="160"/>
      <c r="C34" s="291"/>
      <c r="D34" s="291"/>
      <c r="E34" s="291"/>
      <c r="F34" s="291"/>
      <c r="G34" s="291"/>
      <c r="H34" s="291"/>
      <c r="I34" s="291"/>
      <c r="J34" s="291"/>
      <c r="K34" s="291"/>
      <c r="L34" s="291"/>
      <c r="M34" s="291"/>
      <c r="N34" s="291"/>
      <c r="O34" s="291"/>
      <c r="P34" s="291"/>
      <c r="Q34" s="291"/>
      <c r="R34" s="291"/>
      <c r="S34" s="291"/>
      <c r="T34" s="291"/>
      <c r="U34" s="291"/>
      <c r="V34" s="291"/>
      <c r="W34" s="291"/>
      <c r="X34" s="291"/>
      <c r="Y34" s="292"/>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2"/>
    </row>
    <row r="35" spans="2:49" ht="15" customHeight="1">
      <c r="B35" s="160"/>
      <c r="C35" s="291"/>
      <c r="D35" s="291"/>
      <c r="E35" s="291"/>
      <c r="F35" s="291"/>
      <c r="G35" s="291"/>
      <c r="H35" s="291"/>
      <c r="I35" s="291"/>
      <c r="J35" s="291"/>
      <c r="K35" s="291"/>
      <c r="L35" s="291"/>
      <c r="M35" s="291"/>
      <c r="N35" s="291"/>
      <c r="O35" s="291"/>
      <c r="P35" s="291"/>
      <c r="Q35" s="291"/>
      <c r="R35" s="291"/>
      <c r="S35" s="291"/>
      <c r="T35" s="291"/>
      <c r="U35" s="291"/>
      <c r="V35" s="291"/>
      <c r="W35" s="291"/>
      <c r="X35" s="291"/>
      <c r="Y35" s="292"/>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2"/>
    </row>
    <row r="36" spans="2:49" ht="15" customHeight="1">
      <c r="B36" s="160"/>
      <c r="C36" s="291"/>
      <c r="D36" s="291"/>
      <c r="E36" s="291"/>
      <c r="F36" s="291"/>
      <c r="G36" s="291"/>
      <c r="H36" s="291"/>
      <c r="I36" s="291"/>
      <c r="J36" s="291"/>
      <c r="K36" s="291"/>
      <c r="L36" s="291"/>
      <c r="M36" s="291"/>
      <c r="N36" s="291"/>
      <c r="O36" s="291"/>
      <c r="P36" s="291"/>
      <c r="Q36" s="291"/>
      <c r="R36" s="291"/>
      <c r="S36" s="291"/>
      <c r="T36" s="291"/>
      <c r="U36" s="291"/>
      <c r="V36" s="291"/>
      <c r="W36" s="291"/>
      <c r="X36" s="291"/>
      <c r="Y36" s="292"/>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2"/>
    </row>
    <row r="37" spans="2:49" ht="15" customHeight="1">
      <c r="B37" s="160"/>
      <c r="C37" s="291"/>
      <c r="D37" s="291"/>
      <c r="E37" s="291"/>
      <c r="F37" s="291"/>
      <c r="G37" s="291"/>
      <c r="H37" s="291"/>
      <c r="I37" s="291"/>
      <c r="J37" s="291"/>
      <c r="K37" s="291"/>
      <c r="L37" s="291"/>
      <c r="M37" s="291"/>
      <c r="N37" s="291"/>
      <c r="O37" s="291"/>
      <c r="P37" s="291"/>
      <c r="Q37" s="291"/>
      <c r="R37" s="291"/>
      <c r="S37" s="291"/>
      <c r="T37" s="291"/>
      <c r="U37" s="291"/>
      <c r="V37" s="291"/>
      <c r="W37" s="291"/>
      <c r="X37" s="291"/>
      <c r="Y37" s="292"/>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2"/>
    </row>
    <row r="38" spans="2:49" ht="15" customHeight="1">
      <c r="B38" s="160"/>
      <c r="C38" s="291"/>
      <c r="D38" s="291"/>
      <c r="E38" s="291"/>
      <c r="F38" s="291"/>
      <c r="G38" s="291"/>
      <c r="H38" s="291"/>
      <c r="I38" s="291"/>
      <c r="J38" s="291"/>
      <c r="K38" s="291"/>
      <c r="L38" s="291"/>
      <c r="M38" s="291"/>
      <c r="N38" s="291"/>
      <c r="O38" s="291"/>
      <c r="P38" s="291"/>
      <c r="Q38" s="291"/>
      <c r="R38" s="291"/>
      <c r="S38" s="291"/>
      <c r="T38" s="291"/>
      <c r="U38" s="291"/>
      <c r="V38" s="291"/>
      <c r="W38" s="291"/>
      <c r="X38" s="291"/>
      <c r="Y38" s="292"/>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2"/>
    </row>
    <row r="39" spans="2:49" ht="15" customHeight="1">
      <c r="B39" s="160"/>
      <c r="C39" s="291"/>
      <c r="D39" s="291"/>
      <c r="E39" s="291"/>
      <c r="F39" s="291"/>
      <c r="G39" s="291"/>
      <c r="H39" s="291"/>
      <c r="I39" s="291"/>
      <c r="J39" s="291"/>
      <c r="K39" s="291"/>
      <c r="L39" s="291"/>
      <c r="M39" s="291"/>
      <c r="N39" s="291"/>
      <c r="O39" s="291"/>
      <c r="P39" s="291"/>
      <c r="Q39" s="291"/>
      <c r="R39" s="291"/>
      <c r="S39" s="291"/>
      <c r="T39" s="291"/>
      <c r="U39" s="291"/>
      <c r="V39" s="291"/>
      <c r="W39" s="291"/>
      <c r="X39" s="291"/>
      <c r="Y39" s="292"/>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2"/>
    </row>
    <row r="40" spans="2:49" ht="15" customHeight="1">
      <c r="B40" s="160"/>
      <c r="C40" s="291"/>
      <c r="D40" s="291"/>
      <c r="E40" s="291"/>
      <c r="F40" s="291"/>
      <c r="G40" s="291"/>
      <c r="H40" s="291"/>
      <c r="I40" s="291"/>
      <c r="J40" s="291"/>
      <c r="K40" s="291"/>
      <c r="L40" s="291"/>
      <c r="M40" s="291"/>
      <c r="N40" s="291"/>
      <c r="O40" s="291"/>
      <c r="P40" s="291"/>
      <c r="Q40" s="291"/>
      <c r="R40" s="291"/>
      <c r="S40" s="291"/>
      <c r="T40" s="291"/>
      <c r="U40" s="291"/>
      <c r="V40" s="291"/>
      <c r="W40" s="291"/>
      <c r="X40" s="291"/>
      <c r="Y40" s="292"/>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2"/>
    </row>
    <row r="41" spans="2:49" ht="15" customHeight="1">
      <c r="B41" s="160"/>
      <c r="C41" s="291"/>
      <c r="D41" s="291"/>
      <c r="E41" s="291"/>
      <c r="F41" s="291"/>
      <c r="G41" s="291"/>
      <c r="H41" s="291"/>
      <c r="I41" s="291"/>
      <c r="J41" s="291"/>
      <c r="K41" s="291"/>
      <c r="L41" s="291"/>
      <c r="M41" s="291"/>
      <c r="N41" s="291"/>
      <c r="O41" s="291"/>
      <c r="P41" s="291"/>
      <c r="Q41" s="291"/>
      <c r="R41" s="291"/>
      <c r="S41" s="291"/>
      <c r="T41" s="291"/>
      <c r="U41" s="291"/>
      <c r="V41" s="291"/>
      <c r="W41" s="291"/>
      <c r="X41" s="293"/>
      <c r="Y41" s="292"/>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2"/>
    </row>
    <row r="42" spans="2:49" ht="15" customHeight="1">
      <c r="B42" s="160"/>
      <c r="C42" s="291"/>
      <c r="D42" s="291"/>
      <c r="E42" s="291"/>
      <c r="F42" s="291"/>
      <c r="G42" s="291"/>
      <c r="H42" s="291"/>
      <c r="I42" s="291"/>
      <c r="J42" s="291"/>
      <c r="K42" s="291"/>
      <c r="L42" s="291"/>
      <c r="M42" s="291"/>
      <c r="N42" s="291"/>
      <c r="O42" s="291"/>
      <c r="P42" s="291"/>
      <c r="Q42" s="291"/>
      <c r="R42" s="291"/>
      <c r="S42" s="291"/>
      <c r="T42" s="291"/>
      <c r="U42" s="291"/>
      <c r="V42" s="291"/>
      <c r="W42" s="291"/>
      <c r="X42" s="291"/>
      <c r="Y42" s="292"/>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2"/>
    </row>
    <row r="43" spans="2:49" ht="15" customHeight="1">
      <c r="B43" s="160"/>
      <c r="C43" s="291"/>
      <c r="D43" s="291"/>
      <c r="E43" s="291"/>
      <c r="F43" s="291"/>
      <c r="G43" s="291"/>
      <c r="H43" s="291"/>
      <c r="I43" s="291"/>
      <c r="J43" s="291"/>
      <c r="K43" s="291"/>
      <c r="L43" s="291"/>
      <c r="M43" s="291"/>
      <c r="N43" s="291"/>
      <c r="O43" s="291"/>
      <c r="P43" s="291"/>
      <c r="Q43" s="291"/>
      <c r="R43" s="291"/>
      <c r="S43" s="291"/>
      <c r="T43" s="291"/>
      <c r="U43" s="291"/>
      <c r="V43" s="291"/>
      <c r="W43" s="291"/>
      <c r="X43" s="291"/>
      <c r="Y43" s="292"/>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2"/>
    </row>
    <row r="44" spans="2:49" ht="15" customHeight="1">
      <c r="B44" s="160"/>
      <c r="C44" s="291"/>
      <c r="D44" s="291"/>
      <c r="E44" s="291"/>
      <c r="F44" s="291"/>
      <c r="G44" s="291"/>
      <c r="H44" s="291"/>
      <c r="I44" s="291"/>
      <c r="J44" s="291"/>
      <c r="K44" s="291"/>
      <c r="L44" s="291"/>
      <c r="M44" s="291"/>
      <c r="N44" s="291"/>
      <c r="O44" s="291"/>
      <c r="P44" s="291"/>
      <c r="Q44" s="291"/>
      <c r="R44" s="291"/>
      <c r="S44" s="291"/>
      <c r="T44" s="291"/>
      <c r="U44" s="291"/>
      <c r="V44" s="291"/>
      <c r="W44" s="291"/>
      <c r="X44" s="291"/>
      <c r="Y44" s="292"/>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2"/>
    </row>
    <row r="45" spans="2:49" ht="15" customHeight="1">
      <c r="B45" s="160"/>
      <c r="C45" s="291"/>
      <c r="D45" s="291"/>
      <c r="E45" s="291"/>
      <c r="F45" s="291"/>
      <c r="G45" s="291"/>
      <c r="H45" s="291"/>
      <c r="I45" s="291"/>
      <c r="J45" s="291"/>
      <c r="K45" s="291"/>
      <c r="L45" s="291"/>
      <c r="M45" s="291"/>
      <c r="N45" s="291"/>
      <c r="O45" s="291"/>
      <c r="P45" s="291"/>
      <c r="Q45" s="291"/>
      <c r="R45" s="291"/>
      <c r="S45" s="291"/>
      <c r="T45" s="291"/>
      <c r="U45" s="291"/>
      <c r="V45" s="291"/>
      <c r="W45" s="291"/>
      <c r="X45" s="291"/>
      <c r="Y45" s="292"/>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2"/>
    </row>
    <row r="46" spans="2:49" ht="15" customHeight="1">
      <c r="B46" s="160"/>
      <c r="C46" s="291"/>
      <c r="D46" s="291"/>
      <c r="E46" s="291"/>
      <c r="F46" s="291"/>
      <c r="G46" s="291"/>
      <c r="H46" s="291"/>
      <c r="I46" s="291"/>
      <c r="J46" s="291"/>
      <c r="K46" s="291"/>
      <c r="L46" s="291"/>
      <c r="M46" s="291"/>
      <c r="N46" s="291"/>
      <c r="O46" s="291"/>
      <c r="P46" s="291"/>
      <c r="Q46" s="291"/>
      <c r="R46" s="291"/>
      <c r="S46" s="291"/>
      <c r="T46" s="291"/>
      <c r="U46" s="291"/>
      <c r="V46" s="291"/>
      <c r="W46" s="291"/>
      <c r="X46" s="291"/>
      <c r="Y46" s="292"/>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2"/>
    </row>
    <row r="47" spans="2:49" ht="15" customHeight="1">
      <c r="B47" s="160"/>
      <c r="C47" s="291"/>
      <c r="D47" s="291"/>
      <c r="E47" s="291"/>
      <c r="F47" s="291"/>
      <c r="G47" s="291"/>
      <c r="H47" s="291"/>
      <c r="I47" s="291"/>
      <c r="J47" s="291"/>
      <c r="K47" s="291"/>
      <c r="L47" s="291"/>
      <c r="M47" s="291"/>
      <c r="N47" s="291"/>
      <c r="O47" s="291"/>
      <c r="P47" s="291"/>
      <c r="Q47" s="291"/>
      <c r="R47" s="291"/>
      <c r="S47" s="291"/>
      <c r="T47" s="291"/>
      <c r="U47" s="291"/>
      <c r="V47" s="291"/>
      <c r="W47" s="291"/>
      <c r="X47" s="291"/>
      <c r="Y47" s="292"/>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2"/>
    </row>
    <row r="48" spans="2:49" ht="15" customHeight="1">
      <c r="B48" s="160"/>
      <c r="C48" s="291"/>
      <c r="D48" s="291"/>
      <c r="E48" s="291"/>
      <c r="F48" s="291"/>
      <c r="G48" s="291"/>
      <c r="H48" s="291"/>
      <c r="I48" s="291"/>
      <c r="J48" s="291"/>
      <c r="K48" s="291"/>
      <c r="L48" s="291"/>
      <c r="M48" s="291"/>
      <c r="N48" s="291"/>
      <c r="O48" s="291"/>
      <c r="P48" s="291"/>
      <c r="Q48" s="291"/>
      <c r="R48" s="291"/>
      <c r="S48" s="291"/>
      <c r="T48" s="291"/>
      <c r="U48" s="291"/>
      <c r="V48" s="291"/>
      <c r="W48" s="291"/>
      <c r="X48" s="291"/>
      <c r="Y48" s="292"/>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2"/>
    </row>
    <row r="49" spans="2:49" ht="15" customHeight="1">
      <c r="B49" s="160"/>
      <c r="C49" s="291"/>
      <c r="D49" s="291"/>
      <c r="E49" s="291"/>
      <c r="F49" s="291"/>
      <c r="G49" s="291"/>
      <c r="H49" s="291"/>
      <c r="I49" s="291"/>
      <c r="J49" s="291"/>
      <c r="K49" s="291"/>
      <c r="L49" s="291"/>
      <c r="M49" s="291"/>
      <c r="N49" s="291"/>
      <c r="O49" s="291"/>
      <c r="P49" s="291"/>
      <c r="Q49" s="291"/>
      <c r="R49" s="291"/>
      <c r="S49" s="291"/>
      <c r="T49" s="291"/>
      <c r="U49" s="291"/>
      <c r="V49" s="291"/>
      <c r="W49" s="291"/>
      <c r="X49" s="291"/>
      <c r="Y49" s="292"/>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2"/>
    </row>
    <row r="50" spans="2:49" ht="15" customHeight="1">
      <c r="B50" s="160"/>
      <c r="C50" s="291"/>
      <c r="D50" s="291"/>
      <c r="E50" s="291"/>
      <c r="F50" s="291"/>
      <c r="G50" s="291"/>
      <c r="H50" s="291"/>
      <c r="I50" s="291"/>
      <c r="J50" s="291"/>
      <c r="K50" s="291"/>
      <c r="L50" s="291"/>
      <c r="M50" s="291"/>
      <c r="N50" s="291"/>
      <c r="O50" s="291"/>
      <c r="P50" s="291"/>
      <c r="Q50" s="291"/>
      <c r="R50" s="291"/>
      <c r="S50" s="291"/>
      <c r="T50" s="291"/>
      <c r="U50" s="291"/>
      <c r="V50" s="291"/>
      <c r="W50" s="291"/>
      <c r="X50" s="293"/>
      <c r="Y50" s="292"/>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2"/>
    </row>
    <row r="51" spans="2:49" ht="15" customHeight="1">
      <c r="B51" s="160"/>
      <c r="C51" s="291"/>
      <c r="D51" s="291"/>
      <c r="E51" s="291"/>
      <c r="F51" s="291"/>
      <c r="G51" s="291"/>
      <c r="H51" s="291"/>
      <c r="I51" s="291"/>
      <c r="J51" s="291"/>
      <c r="K51" s="291"/>
      <c r="L51" s="291"/>
      <c r="M51" s="291"/>
      <c r="N51" s="291"/>
      <c r="O51" s="291"/>
      <c r="P51" s="291"/>
      <c r="Q51" s="291"/>
      <c r="R51" s="291"/>
      <c r="S51" s="291"/>
      <c r="T51" s="291"/>
      <c r="U51" s="291"/>
      <c r="V51" s="291"/>
      <c r="W51" s="291"/>
      <c r="X51" s="291"/>
      <c r="Y51" s="292"/>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2"/>
    </row>
    <row r="52" spans="2:49" ht="15" customHeight="1">
      <c r="B52" s="160"/>
      <c r="C52" s="291"/>
      <c r="D52" s="291"/>
      <c r="E52" s="291"/>
      <c r="F52" s="291"/>
      <c r="G52" s="291"/>
      <c r="H52" s="291"/>
      <c r="I52" s="291"/>
      <c r="J52" s="291"/>
      <c r="K52" s="291"/>
      <c r="L52" s="291"/>
      <c r="M52" s="291"/>
      <c r="N52" s="291"/>
      <c r="O52" s="291"/>
      <c r="P52" s="291"/>
      <c r="Q52" s="291"/>
      <c r="R52" s="291"/>
      <c r="S52" s="291"/>
      <c r="T52" s="291"/>
      <c r="U52" s="291"/>
      <c r="V52" s="291"/>
      <c r="W52" s="291"/>
      <c r="X52" s="291"/>
      <c r="Y52" s="292"/>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2"/>
    </row>
    <row r="53" spans="2:49" ht="15" customHeight="1">
      <c r="B53" s="160"/>
      <c r="C53" s="291"/>
      <c r="D53" s="291"/>
      <c r="E53" s="291"/>
      <c r="F53" s="291"/>
      <c r="G53" s="291"/>
      <c r="H53" s="291"/>
      <c r="I53" s="291"/>
      <c r="J53" s="291"/>
      <c r="K53" s="291"/>
      <c r="L53" s="291"/>
      <c r="M53" s="291"/>
      <c r="N53" s="291"/>
      <c r="O53" s="291"/>
      <c r="P53" s="291"/>
      <c r="Q53" s="291"/>
      <c r="R53" s="291"/>
      <c r="S53" s="291"/>
      <c r="T53" s="291"/>
      <c r="U53" s="291"/>
      <c r="V53" s="291"/>
      <c r="W53" s="291"/>
      <c r="X53" s="291"/>
      <c r="Y53" s="292"/>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292"/>
    </row>
    <row r="54" spans="2:49" ht="15" customHeight="1">
      <c r="B54" s="160"/>
      <c r="C54" s="291"/>
      <c r="D54" s="291"/>
      <c r="E54" s="291"/>
      <c r="F54" s="291"/>
      <c r="G54" s="291"/>
      <c r="H54" s="291"/>
      <c r="I54" s="291"/>
      <c r="J54" s="291"/>
      <c r="K54" s="291"/>
      <c r="L54" s="291"/>
      <c r="M54" s="291"/>
      <c r="N54" s="291"/>
      <c r="O54" s="291"/>
      <c r="P54" s="291"/>
      <c r="Q54" s="291"/>
      <c r="R54" s="291"/>
      <c r="S54" s="291"/>
      <c r="T54" s="291"/>
      <c r="U54" s="291"/>
      <c r="V54" s="291"/>
      <c r="W54" s="291"/>
      <c r="X54" s="291"/>
      <c r="Y54" s="292"/>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2"/>
    </row>
    <row r="55" spans="2:49" ht="15" customHeight="1">
      <c r="B55" s="160"/>
      <c r="C55" s="291"/>
      <c r="D55" s="291"/>
      <c r="E55" s="291"/>
      <c r="F55" s="291"/>
      <c r="G55" s="291"/>
      <c r="H55" s="291"/>
      <c r="I55" s="291"/>
      <c r="J55" s="291"/>
      <c r="K55" s="291"/>
      <c r="L55" s="291"/>
      <c r="M55" s="291"/>
      <c r="N55" s="291"/>
      <c r="O55" s="291"/>
      <c r="P55" s="291"/>
      <c r="Q55" s="291"/>
      <c r="R55" s="291"/>
      <c r="S55" s="291"/>
      <c r="T55" s="291"/>
      <c r="U55" s="291"/>
      <c r="V55" s="291"/>
      <c r="W55" s="291"/>
      <c r="X55" s="291"/>
      <c r="Y55" s="292"/>
      <c r="Z55" s="291"/>
      <c r="AA55" s="291"/>
      <c r="AB55" s="291"/>
      <c r="AC55" s="291"/>
      <c r="AD55" s="291"/>
      <c r="AE55" s="291"/>
      <c r="AF55" s="291"/>
      <c r="AG55" s="291"/>
      <c r="AH55" s="291"/>
      <c r="AI55" s="291"/>
      <c r="AJ55" s="291"/>
      <c r="AK55" s="291"/>
      <c r="AL55" s="291"/>
      <c r="AM55" s="291"/>
      <c r="AN55" s="291"/>
      <c r="AO55" s="291"/>
      <c r="AP55" s="291"/>
      <c r="AQ55" s="291"/>
      <c r="AR55" s="291"/>
      <c r="AS55" s="291"/>
      <c r="AT55" s="291"/>
      <c r="AU55" s="291"/>
      <c r="AV55" s="291"/>
      <c r="AW55" s="292"/>
    </row>
    <row r="56" spans="2:49" ht="15" customHeight="1">
      <c r="B56" s="160"/>
      <c r="C56" s="291"/>
      <c r="D56" s="291"/>
      <c r="E56" s="291"/>
      <c r="F56" s="291"/>
      <c r="G56" s="291"/>
      <c r="H56" s="291"/>
      <c r="I56" s="291"/>
      <c r="J56" s="291"/>
      <c r="K56" s="291"/>
      <c r="L56" s="291"/>
      <c r="M56" s="291"/>
      <c r="N56" s="291"/>
      <c r="O56" s="291"/>
      <c r="P56" s="291"/>
      <c r="Q56" s="291"/>
      <c r="R56" s="291"/>
      <c r="S56" s="291"/>
      <c r="T56" s="291"/>
      <c r="U56" s="291"/>
      <c r="V56" s="291"/>
      <c r="W56" s="291"/>
      <c r="X56" s="291"/>
      <c r="Y56" s="292"/>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2"/>
    </row>
    <row r="57" spans="2:49" ht="15" customHeight="1">
      <c r="B57" s="160"/>
      <c r="C57" s="291"/>
      <c r="D57" s="291"/>
      <c r="E57" s="291"/>
      <c r="F57" s="291"/>
      <c r="G57" s="291"/>
      <c r="H57" s="291"/>
      <c r="I57" s="291"/>
      <c r="J57" s="291"/>
      <c r="K57" s="291"/>
      <c r="L57" s="291"/>
      <c r="M57" s="291"/>
      <c r="N57" s="291"/>
      <c r="O57" s="291"/>
      <c r="P57" s="291"/>
      <c r="Q57" s="291"/>
      <c r="R57" s="291"/>
      <c r="S57" s="291"/>
      <c r="T57" s="291"/>
      <c r="U57" s="291"/>
      <c r="V57" s="291"/>
      <c r="W57" s="291"/>
      <c r="X57" s="291"/>
      <c r="Y57" s="292"/>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2"/>
    </row>
    <row r="58" spans="2:49" ht="15" customHeight="1">
      <c r="B58" s="160"/>
      <c r="C58" s="291"/>
      <c r="D58" s="291"/>
      <c r="E58" s="291"/>
      <c r="F58" s="291"/>
      <c r="G58" s="291"/>
      <c r="H58" s="291"/>
      <c r="I58" s="291"/>
      <c r="J58" s="291"/>
      <c r="K58" s="291"/>
      <c r="L58" s="291"/>
      <c r="M58" s="291"/>
      <c r="N58" s="291"/>
      <c r="O58" s="291"/>
      <c r="P58" s="291"/>
      <c r="Q58" s="291"/>
      <c r="R58" s="291"/>
      <c r="S58" s="291"/>
      <c r="T58" s="291"/>
      <c r="U58" s="291"/>
      <c r="V58" s="291"/>
      <c r="W58" s="291"/>
      <c r="X58" s="291"/>
      <c r="Y58" s="292"/>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2"/>
    </row>
    <row r="59" spans="2:49" ht="15" customHeight="1">
      <c r="B59" s="160"/>
      <c r="C59" s="291"/>
      <c r="D59" s="291"/>
      <c r="E59" s="291"/>
      <c r="F59" s="291"/>
      <c r="G59" s="291"/>
      <c r="H59" s="291"/>
      <c r="I59" s="291"/>
      <c r="J59" s="291"/>
      <c r="K59" s="291"/>
      <c r="L59" s="291"/>
      <c r="M59" s="291"/>
      <c r="N59" s="291"/>
      <c r="O59" s="291"/>
      <c r="P59" s="291"/>
      <c r="Q59" s="291"/>
      <c r="R59" s="291"/>
      <c r="S59" s="291"/>
      <c r="T59" s="291"/>
      <c r="U59" s="291"/>
      <c r="V59" s="291"/>
      <c r="W59" s="291"/>
      <c r="X59" s="293"/>
      <c r="Y59" s="292"/>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2"/>
    </row>
    <row r="60" spans="2:49" ht="15" customHeight="1">
      <c r="B60" s="160"/>
      <c r="C60" s="291"/>
      <c r="D60" s="291"/>
      <c r="E60" s="291"/>
      <c r="F60" s="291"/>
      <c r="G60" s="291"/>
      <c r="H60" s="291"/>
      <c r="I60" s="291"/>
      <c r="J60" s="291"/>
      <c r="K60" s="291"/>
      <c r="L60" s="291"/>
      <c r="M60" s="291"/>
      <c r="N60" s="291"/>
      <c r="O60" s="291"/>
      <c r="P60" s="291"/>
      <c r="Q60" s="291"/>
      <c r="R60" s="291"/>
      <c r="S60" s="291"/>
      <c r="T60" s="291"/>
      <c r="U60" s="291"/>
      <c r="V60" s="291"/>
      <c r="W60" s="291"/>
      <c r="X60" s="291"/>
      <c r="Y60" s="292"/>
      <c r="Z60" s="291"/>
      <c r="AA60" s="291"/>
      <c r="AB60" s="291"/>
      <c r="AC60" s="291"/>
      <c r="AD60" s="291"/>
      <c r="AE60" s="291"/>
      <c r="AF60" s="291"/>
      <c r="AG60" s="291"/>
      <c r="AH60" s="291"/>
      <c r="AI60" s="291"/>
      <c r="AJ60" s="291"/>
      <c r="AK60" s="291"/>
      <c r="AL60" s="291"/>
      <c r="AM60" s="291"/>
      <c r="AN60" s="291"/>
      <c r="AO60" s="291"/>
      <c r="AP60" s="291"/>
      <c r="AQ60" s="291"/>
      <c r="AR60" s="291"/>
      <c r="AS60" s="291"/>
      <c r="AT60" s="291"/>
      <c r="AU60" s="291"/>
      <c r="AV60" s="291"/>
      <c r="AW60" s="292"/>
    </row>
    <row r="61" spans="2:49" ht="15" customHeight="1">
      <c r="B61" s="160"/>
      <c r="C61" s="291"/>
      <c r="D61" s="291"/>
      <c r="E61" s="291"/>
      <c r="F61" s="291"/>
      <c r="G61" s="291"/>
      <c r="H61" s="291"/>
      <c r="I61" s="291"/>
      <c r="J61" s="291"/>
      <c r="K61" s="291"/>
      <c r="L61" s="291"/>
      <c r="M61" s="291"/>
      <c r="N61" s="291"/>
      <c r="O61" s="291"/>
      <c r="P61" s="291"/>
      <c r="Q61" s="291"/>
      <c r="R61" s="291"/>
      <c r="S61" s="291"/>
      <c r="T61" s="291"/>
      <c r="U61" s="291"/>
      <c r="V61" s="291"/>
      <c r="W61" s="291"/>
      <c r="X61" s="291"/>
      <c r="Y61" s="292"/>
      <c r="Z61" s="291"/>
      <c r="AA61" s="291"/>
      <c r="AB61" s="291"/>
      <c r="AC61" s="291"/>
      <c r="AD61" s="291"/>
      <c r="AE61" s="291"/>
      <c r="AF61" s="291"/>
      <c r="AG61" s="291"/>
      <c r="AH61" s="291"/>
      <c r="AI61" s="291"/>
      <c r="AJ61" s="291"/>
      <c r="AK61" s="291"/>
      <c r="AL61" s="291"/>
      <c r="AM61" s="291"/>
      <c r="AN61" s="291"/>
      <c r="AO61" s="291"/>
      <c r="AP61" s="291"/>
      <c r="AQ61" s="291"/>
      <c r="AR61" s="291"/>
      <c r="AS61" s="291"/>
      <c r="AT61" s="291"/>
      <c r="AU61" s="291"/>
      <c r="AV61" s="291"/>
      <c r="AW61" s="292"/>
    </row>
    <row r="62" spans="2:49" ht="15" customHeight="1">
      <c r="B62" s="160"/>
      <c r="C62" s="291"/>
      <c r="D62" s="291"/>
      <c r="E62" s="291"/>
      <c r="F62" s="291"/>
      <c r="G62" s="291"/>
      <c r="H62" s="291"/>
      <c r="I62" s="291"/>
      <c r="J62" s="291"/>
      <c r="K62" s="291"/>
      <c r="L62" s="291"/>
      <c r="M62" s="291"/>
      <c r="N62" s="291"/>
      <c r="O62" s="291"/>
      <c r="P62" s="291"/>
      <c r="Q62" s="291"/>
      <c r="R62" s="291"/>
      <c r="S62" s="291"/>
      <c r="T62" s="291"/>
      <c r="U62" s="291"/>
      <c r="V62" s="291"/>
      <c r="W62" s="291"/>
      <c r="X62" s="291"/>
      <c r="Y62" s="292"/>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2"/>
    </row>
    <row r="63" spans="2:49" ht="15" customHeight="1">
      <c r="B63" s="160"/>
      <c r="C63" s="291"/>
      <c r="D63" s="291"/>
      <c r="E63" s="291"/>
      <c r="F63" s="291"/>
      <c r="G63" s="291"/>
      <c r="H63" s="291"/>
      <c r="I63" s="291"/>
      <c r="J63" s="291"/>
      <c r="K63" s="291"/>
      <c r="L63" s="291"/>
      <c r="M63" s="291"/>
      <c r="N63" s="291"/>
      <c r="O63" s="291"/>
      <c r="P63" s="291"/>
      <c r="Q63" s="291"/>
      <c r="R63" s="291"/>
      <c r="S63" s="291"/>
      <c r="T63" s="291"/>
      <c r="U63" s="291"/>
      <c r="V63" s="291"/>
      <c r="W63" s="291"/>
      <c r="X63" s="291"/>
      <c r="Y63" s="292"/>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2"/>
    </row>
    <row r="64" spans="2:49" ht="15" customHeight="1">
      <c r="B64" s="160"/>
      <c r="C64" s="291"/>
      <c r="D64" s="291"/>
      <c r="E64" s="291"/>
      <c r="F64" s="291"/>
      <c r="G64" s="291"/>
      <c r="H64" s="291"/>
      <c r="I64" s="291"/>
      <c r="J64" s="291"/>
      <c r="K64" s="291"/>
      <c r="L64" s="291"/>
      <c r="M64" s="291"/>
      <c r="N64" s="291"/>
      <c r="O64" s="291"/>
      <c r="P64" s="291"/>
      <c r="Q64" s="291"/>
      <c r="R64" s="291"/>
      <c r="S64" s="291"/>
      <c r="T64" s="291"/>
      <c r="U64" s="291"/>
      <c r="V64" s="291"/>
      <c r="W64" s="291"/>
      <c r="X64" s="293"/>
      <c r="Y64" s="292"/>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2"/>
    </row>
    <row r="65" spans="2:49" ht="15" customHeight="1">
      <c r="B65" s="160"/>
      <c r="C65" s="291"/>
      <c r="D65" s="291"/>
      <c r="E65" s="291"/>
      <c r="F65" s="291"/>
      <c r="G65" s="291"/>
      <c r="H65" s="291"/>
      <c r="I65" s="291"/>
      <c r="J65" s="291"/>
      <c r="K65" s="291"/>
      <c r="L65" s="291"/>
      <c r="M65" s="291"/>
      <c r="N65" s="291"/>
      <c r="O65" s="291"/>
      <c r="P65" s="291"/>
      <c r="Q65" s="291"/>
      <c r="R65" s="291"/>
      <c r="S65" s="291"/>
      <c r="T65" s="291"/>
      <c r="U65" s="291"/>
      <c r="V65" s="291"/>
      <c r="W65" s="291"/>
      <c r="X65" s="291"/>
      <c r="Y65" s="292"/>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2"/>
    </row>
    <row r="66" spans="2:49" ht="15" customHeight="1">
      <c r="B66" s="160"/>
      <c r="C66" s="291"/>
      <c r="D66" s="291"/>
      <c r="E66" s="291"/>
      <c r="F66" s="291"/>
      <c r="G66" s="291"/>
      <c r="H66" s="291"/>
      <c r="I66" s="291"/>
      <c r="J66" s="291"/>
      <c r="K66" s="291"/>
      <c r="L66" s="291"/>
      <c r="M66" s="291"/>
      <c r="N66" s="291"/>
      <c r="O66" s="291"/>
      <c r="P66" s="291"/>
      <c r="Q66" s="291"/>
      <c r="R66" s="291"/>
      <c r="S66" s="291"/>
      <c r="T66" s="291"/>
      <c r="U66" s="291"/>
      <c r="V66" s="291"/>
      <c r="W66" s="291"/>
      <c r="X66" s="291"/>
      <c r="Y66" s="292"/>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1"/>
      <c r="AW66" s="292"/>
    </row>
    <row r="67" spans="2:49" ht="15" customHeight="1">
      <c r="B67" s="160"/>
      <c r="C67" s="291"/>
      <c r="D67" s="291"/>
      <c r="E67" s="291"/>
      <c r="F67" s="291"/>
      <c r="G67" s="291"/>
      <c r="H67" s="291"/>
      <c r="I67" s="291"/>
      <c r="J67" s="291"/>
      <c r="K67" s="291"/>
      <c r="L67" s="291"/>
      <c r="M67" s="291"/>
      <c r="N67" s="291"/>
      <c r="O67" s="291"/>
      <c r="P67" s="291"/>
      <c r="Q67" s="291"/>
      <c r="R67" s="291"/>
      <c r="S67" s="291"/>
      <c r="T67" s="291"/>
      <c r="U67" s="291"/>
      <c r="V67" s="291"/>
      <c r="W67" s="291"/>
      <c r="X67" s="291"/>
      <c r="Y67" s="292"/>
      <c r="Z67" s="291"/>
      <c r="AA67" s="291"/>
      <c r="AB67" s="291"/>
      <c r="AC67" s="291"/>
      <c r="AD67" s="291"/>
      <c r="AE67" s="291"/>
      <c r="AF67" s="291"/>
      <c r="AG67" s="291"/>
      <c r="AH67" s="291"/>
      <c r="AI67" s="291"/>
      <c r="AJ67" s="291"/>
      <c r="AK67" s="291"/>
      <c r="AL67" s="291"/>
      <c r="AM67" s="291"/>
      <c r="AN67" s="291"/>
      <c r="AO67" s="291"/>
      <c r="AP67" s="291"/>
      <c r="AQ67" s="291"/>
      <c r="AR67" s="291"/>
      <c r="AS67" s="291"/>
      <c r="AT67" s="291"/>
      <c r="AU67" s="291"/>
      <c r="AV67" s="291"/>
      <c r="AW67" s="292"/>
    </row>
    <row r="68" spans="2:49" ht="15" customHeight="1">
      <c r="B68" s="160"/>
      <c r="C68" s="291"/>
      <c r="D68" s="291"/>
      <c r="E68" s="291"/>
      <c r="F68" s="291"/>
      <c r="G68" s="291"/>
      <c r="H68" s="291"/>
      <c r="I68" s="291"/>
      <c r="J68" s="291"/>
      <c r="K68" s="291"/>
      <c r="L68" s="291"/>
      <c r="M68" s="291"/>
      <c r="N68" s="291"/>
      <c r="O68" s="291"/>
      <c r="P68" s="291"/>
      <c r="Q68" s="291"/>
      <c r="R68" s="291"/>
      <c r="S68" s="291"/>
      <c r="T68" s="291"/>
      <c r="U68" s="291"/>
      <c r="V68" s="291"/>
      <c r="W68" s="291"/>
      <c r="X68" s="291"/>
      <c r="Y68" s="292"/>
      <c r="Z68" s="291"/>
      <c r="AA68" s="291"/>
      <c r="AB68" s="291"/>
      <c r="AC68" s="291"/>
      <c r="AD68" s="291"/>
      <c r="AE68" s="291"/>
      <c r="AF68" s="291"/>
      <c r="AG68" s="291"/>
      <c r="AH68" s="291"/>
      <c r="AI68" s="291"/>
      <c r="AJ68" s="291"/>
      <c r="AK68" s="291"/>
      <c r="AL68" s="291"/>
      <c r="AM68" s="291"/>
      <c r="AN68" s="291"/>
      <c r="AO68" s="291"/>
      <c r="AP68" s="291"/>
      <c r="AQ68" s="291"/>
      <c r="AR68" s="291"/>
      <c r="AS68" s="291"/>
      <c r="AT68" s="291"/>
      <c r="AU68" s="291"/>
      <c r="AV68" s="291"/>
      <c r="AW68" s="292"/>
    </row>
    <row r="69" spans="2:49" ht="15" customHeight="1">
      <c r="B69" s="160"/>
      <c r="C69" s="291"/>
      <c r="D69" s="291"/>
      <c r="E69" s="291"/>
      <c r="F69" s="291"/>
      <c r="G69" s="291"/>
      <c r="H69" s="291"/>
      <c r="I69" s="291"/>
      <c r="J69" s="291"/>
      <c r="K69" s="291"/>
      <c r="L69" s="291"/>
      <c r="M69" s="291"/>
      <c r="N69" s="291"/>
      <c r="O69" s="291"/>
      <c r="P69" s="291"/>
      <c r="Q69" s="291"/>
      <c r="R69" s="291"/>
      <c r="S69" s="291"/>
      <c r="T69" s="291"/>
      <c r="U69" s="291"/>
      <c r="V69" s="291"/>
      <c r="W69" s="291"/>
      <c r="X69" s="291"/>
      <c r="Y69" s="292"/>
      <c r="Z69" s="291"/>
      <c r="AA69" s="291"/>
      <c r="AB69" s="291"/>
      <c r="AC69" s="291"/>
      <c r="AD69" s="291"/>
      <c r="AE69" s="291"/>
      <c r="AF69" s="291"/>
      <c r="AG69" s="291"/>
      <c r="AH69" s="291"/>
      <c r="AI69" s="291"/>
      <c r="AJ69" s="291"/>
      <c r="AK69" s="291"/>
      <c r="AL69" s="291"/>
      <c r="AM69" s="291"/>
      <c r="AN69" s="291"/>
      <c r="AO69" s="291"/>
      <c r="AP69" s="291"/>
      <c r="AQ69" s="291"/>
      <c r="AR69" s="291"/>
      <c r="AS69" s="291"/>
      <c r="AT69" s="291"/>
      <c r="AU69" s="291"/>
      <c r="AV69" s="291"/>
      <c r="AW69" s="292"/>
    </row>
    <row r="70" spans="2:49" ht="15" customHeight="1">
      <c r="B70" s="160"/>
      <c r="C70" s="291"/>
      <c r="D70" s="291"/>
      <c r="E70" s="291"/>
      <c r="F70" s="291"/>
      <c r="G70" s="291"/>
      <c r="H70" s="291"/>
      <c r="I70" s="291"/>
      <c r="J70" s="291"/>
      <c r="K70" s="291"/>
      <c r="L70" s="291"/>
      <c r="M70" s="291"/>
      <c r="N70" s="291"/>
      <c r="O70" s="291"/>
      <c r="P70" s="291"/>
      <c r="Q70" s="291"/>
      <c r="R70" s="291"/>
      <c r="S70" s="291"/>
      <c r="T70" s="291"/>
      <c r="U70" s="291"/>
      <c r="V70" s="291"/>
      <c r="W70" s="291"/>
      <c r="X70" s="291"/>
      <c r="Y70" s="292"/>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291"/>
      <c r="AV70" s="291"/>
      <c r="AW70" s="292"/>
    </row>
    <row r="71" spans="2:49" ht="15" customHeight="1">
      <c r="B71" s="160"/>
      <c r="C71" s="291"/>
      <c r="D71" s="291"/>
      <c r="E71" s="291"/>
      <c r="F71" s="291"/>
      <c r="G71" s="291"/>
      <c r="H71" s="291"/>
      <c r="I71" s="291"/>
      <c r="J71" s="291"/>
      <c r="K71" s="291"/>
      <c r="L71" s="291"/>
      <c r="M71" s="291"/>
      <c r="N71" s="291"/>
      <c r="O71" s="291"/>
      <c r="P71" s="291"/>
      <c r="Q71" s="291"/>
      <c r="R71" s="291"/>
      <c r="S71" s="291"/>
      <c r="T71" s="291"/>
      <c r="U71" s="291"/>
      <c r="V71" s="291"/>
      <c r="W71" s="291"/>
      <c r="X71" s="291"/>
      <c r="Y71" s="292"/>
      <c r="Z71" s="291"/>
      <c r="AA71" s="291"/>
      <c r="AB71" s="291"/>
      <c r="AC71" s="291"/>
      <c r="AD71" s="291"/>
      <c r="AE71" s="291"/>
      <c r="AF71" s="291"/>
      <c r="AG71" s="291"/>
      <c r="AH71" s="291"/>
      <c r="AI71" s="291"/>
      <c r="AJ71" s="291"/>
      <c r="AK71" s="291"/>
      <c r="AL71" s="291"/>
      <c r="AM71" s="291"/>
      <c r="AN71" s="291"/>
      <c r="AO71" s="291"/>
      <c r="AP71" s="291"/>
      <c r="AQ71" s="291"/>
      <c r="AR71" s="291"/>
      <c r="AS71" s="291"/>
      <c r="AT71" s="291"/>
      <c r="AU71" s="291"/>
      <c r="AV71" s="291"/>
      <c r="AW71" s="292"/>
    </row>
    <row r="72" spans="2:49" ht="15" customHeight="1">
      <c r="B72" s="160"/>
      <c r="C72" s="291"/>
      <c r="D72" s="291"/>
      <c r="E72" s="291"/>
      <c r="F72" s="291"/>
      <c r="G72" s="291"/>
      <c r="H72" s="291"/>
      <c r="I72" s="291"/>
      <c r="J72" s="291"/>
      <c r="K72" s="291"/>
      <c r="L72" s="291"/>
      <c r="M72" s="291"/>
      <c r="N72" s="291"/>
      <c r="O72" s="291"/>
      <c r="P72" s="291"/>
      <c r="Q72" s="291"/>
      <c r="R72" s="291"/>
      <c r="S72" s="291"/>
      <c r="T72" s="291"/>
      <c r="U72" s="291"/>
      <c r="V72" s="291"/>
      <c r="W72" s="291"/>
      <c r="X72" s="291"/>
      <c r="Y72" s="292"/>
      <c r="Z72" s="291"/>
      <c r="AA72" s="291"/>
      <c r="AB72" s="291"/>
      <c r="AC72" s="291"/>
      <c r="AD72" s="291"/>
      <c r="AE72" s="291"/>
      <c r="AF72" s="291"/>
      <c r="AG72" s="291"/>
      <c r="AH72" s="291"/>
      <c r="AI72" s="291"/>
      <c r="AJ72" s="291"/>
      <c r="AK72" s="291"/>
      <c r="AL72" s="291"/>
      <c r="AM72" s="291"/>
      <c r="AN72" s="291"/>
      <c r="AO72" s="291"/>
      <c r="AP72" s="291"/>
      <c r="AQ72" s="291"/>
      <c r="AR72" s="291"/>
      <c r="AS72" s="291"/>
      <c r="AT72" s="291"/>
      <c r="AU72" s="291"/>
      <c r="AV72" s="291"/>
      <c r="AW72" s="292"/>
    </row>
    <row r="73" spans="2:49" ht="15" customHeight="1">
      <c r="B73" s="160"/>
      <c r="C73" s="291"/>
      <c r="D73" s="291"/>
      <c r="E73" s="291"/>
      <c r="F73" s="291"/>
      <c r="G73" s="291"/>
      <c r="H73" s="291"/>
      <c r="I73" s="291"/>
      <c r="J73" s="291"/>
      <c r="K73" s="291"/>
      <c r="L73" s="291"/>
      <c r="M73" s="291"/>
      <c r="N73" s="291"/>
      <c r="O73" s="291"/>
      <c r="P73" s="291"/>
      <c r="Q73" s="291"/>
      <c r="R73" s="291"/>
      <c r="S73" s="291"/>
      <c r="T73" s="291"/>
      <c r="U73" s="291"/>
      <c r="V73" s="291"/>
      <c r="W73" s="291"/>
      <c r="X73" s="291"/>
      <c r="Y73" s="292"/>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2"/>
    </row>
    <row r="74" spans="2:49" ht="15" customHeight="1">
      <c r="B74" s="160"/>
      <c r="C74" s="291"/>
      <c r="D74" s="291"/>
      <c r="E74" s="291"/>
      <c r="F74" s="291"/>
      <c r="G74" s="291"/>
      <c r="H74" s="291"/>
      <c r="I74" s="291"/>
      <c r="J74" s="291"/>
      <c r="K74" s="291"/>
      <c r="L74" s="291"/>
      <c r="M74" s="291"/>
      <c r="N74" s="291"/>
      <c r="O74" s="291"/>
      <c r="P74" s="291"/>
      <c r="Q74" s="291"/>
      <c r="R74" s="291"/>
      <c r="S74" s="291"/>
      <c r="T74" s="291"/>
      <c r="U74" s="291"/>
      <c r="V74" s="291"/>
      <c r="W74" s="291"/>
      <c r="X74" s="291"/>
      <c r="Y74" s="292"/>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2"/>
    </row>
    <row r="75" spans="2:49" ht="15" customHeight="1">
      <c r="B75" s="160"/>
      <c r="C75" s="291"/>
      <c r="D75" s="291"/>
      <c r="E75" s="291"/>
      <c r="F75" s="291"/>
      <c r="G75" s="291"/>
      <c r="H75" s="291"/>
      <c r="I75" s="291"/>
      <c r="J75" s="291"/>
      <c r="K75" s="291"/>
      <c r="L75" s="291"/>
      <c r="M75" s="291"/>
      <c r="N75" s="291"/>
      <c r="O75" s="291"/>
      <c r="P75" s="291"/>
      <c r="Q75" s="291"/>
      <c r="R75" s="291"/>
      <c r="S75" s="291"/>
      <c r="T75" s="291"/>
      <c r="U75" s="291"/>
      <c r="V75" s="291"/>
      <c r="W75" s="291"/>
      <c r="X75" s="291"/>
      <c r="Y75" s="292"/>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1"/>
      <c r="AW75" s="292"/>
    </row>
    <row r="76" spans="2:49" ht="15" customHeight="1">
      <c r="B76" s="160"/>
      <c r="C76" s="291"/>
      <c r="D76" s="291"/>
      <c r="E76" s="291"/>
      <c r="F76" s="291"/>
      <c r="G76" s="291"/>
      <c r="H76" s="291"/>
      <c r="I76" s="291"/>
      <c r="J76" s="291"/>
      <c r="K76" s="291"/>
      <c r="L76" s="291"/>
      <c r="M76" s="291"/>
      <c r="N76" s="291"/>
      <c r="O76" s="291"/>
      <c r="P76" s="291"/>
      <c r="Q76" s="291"/>
      <c r="R76" s="291"/>
      <c r="S76" s="291"/>
      <c r="T76" s="291"/>
      <c r="U76" s="291"/>
      <c r="V76" s="291"/>
      <c r="W76" s="291"/>
      <c r="X76" s="291"/>
      <c r="Y76" s="292"/>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1"/>
      <c r="AW76" s="292"/>
    </row>
    <row r="77" spans="2:49" ht="15" customHeight="1">
      <c r="B77" s="160"/>
      <c r="C77" s="291"/>
      <c r="D77" s="291"/>
      <c r="E77" s="291"/>
      <c r="F77" s="291"/>
      <c r="G77" s="291"/>
      <c r="H77" s="291"/>
      <c r="I77" s="291"/>
      <c r="J77" s="291"/>
      <c r="K77" s="291"/>
      <c r="L77" s="291"/>
      <c r="M77" s="291"/>
      <c r="N77" s="291"/>
      <c r="O77" s="291"/>
      <c r="P77" s="291"/>
      <c r="Q77" s="291"/>
      <c r="R77" s="291"/>
      <c r="S77" s="291"/>
      <c r="T77" s="291"/>
      <c r="U77" s="291"/>
      <c r="V77" s="291"/>
      <c r="W77" s="291"/>
      <c r="X77" s="291"/>
      <c r="Y77" s="292"/>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2"/>
    </row>
    <row r="78" spans="2:49" ht="15" customHeight="1">
      <c r="B78" s="161"/>
      <c r="C78" s="294"/>
      <c r="D78" s="294"/>
      <c r="E78" s="294"/>
      <c r="F78" s="294"/>
      <c r="G78" s="294"/>
      <c r="H78" s="294"/>
      <c r="I78" s="294"/>
      <c r="J78" s="294"/>
      <c r="K78" s="294"/>
      <c r="L78" s="294"/>
      <c r="M78" s="294"/>
      <c r="N78" s="294"/>
      <c r="O78" s="294"/>
      <c r="P78" s="294"/>
      <c r="Q78" s="294"/>
      <c r="R78" s="294"/>
      <c r="S78" s="294"/>
      <c r="T78" s="294"/>
      <c r="U78" s="294"/>
      <c r="V78" s="294"/>
      <c r="W78" s="294"/>
      <c r="X78" s="294"/>
      <c r="Y78" s="295"/>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5"/>
    </row>
    <row r="79" spans="2:49" ht="15" customHeight="1">
      <c r="B79" s="160"/>
      <c r="C79" s="291"/>
      <c r="D79" s="291"/>
      <c r="E79" s="291"/>
      <c r="F79" s="291"/>
      <c r="G79" s="291"/>
      <c r="H79" s="291"/>
      <c r="I79" s="291"/>
      <c r="J79" s="291"/>
      <c r="K79" s="291"/>
      <c r="L79" s="291"/>
      <c r="M79" s="291"/>
      <c r="N79" s="291"/>
      <c r="O79" s="291"/>
      <c r="P79" s="291"/>
      <c r="Q79" s="291"/>
      <c r="R79" s="291"/>
      <c r="S79" s="291"/>
      <c r="T79" s="291"/>
      <c r="U79" s="291"/>
      <c r="V79" s="291"/>
      <c r="W79" s="291"/>
      <c r="X79" s="291"/>
      <c r="Y79" s="292"/>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2"/>
    </row>
    <row r="80" spans="2:49" ht="15" customHeight="1">
      <c r="B80" s="160" t="s">
        <v>454</v>
      </c>
      <c r="C80" s="291"/>
      <c r="D80" s="291"/>
      <c r="E80" s="291"/>
      <c r="F80" s="291"/>
      <c r="G80" s="291"/>
      <c r="H80" s="291"/>
      <c r="I80" s="291"/>
      <c r="J80" s="291"/>
      <c r="K80" s="291"/>
      <c r="L80" s="291"/>
      <c r="M80" s="291"/>
      <c r="N80" s="291"/>
      <c r="O80" s="291"/>
      <c r="P80" s="291"/>
      <c r="Q80" s="291"/>
      <c r="R80" s="291"/>
      <c r="S80" s="291"/>
      <c r="T80" s="291"/>
      <c r="U80" s="291"/>
      <c r="V80" s="291"/>
      <c r="W80" s="291"/>
      <c r="X80" s="291"/>
      <c r="Y80" s="292"/>
      <c r="Z80" s="291"/>
      <c r="AA80" s="291"/>
      <c r="AB80" s="291"/>
      <c r="AC80" s="291"/>
      <c r="AD80" s="291"/>
      <c r="AE80" s="291"/>
      <c r="AF80" s="291"/>
      <c r="AG80" s="291"/>
      <c r="AH80" s="291"/>
      <c r="AI80" s="291"/>
      <c r="AJ80" s="291"/>
      <c r="AK80" s="291"/>
      <c r="AL80" s="291"/>
      <c r="AM80" s="291"/>
      <c r="AN80" s="291"/>
      <c r="AO80" s="291"/>
      <c r="AP80" s="291"/>
      <c r="AQ80" s="291"/>
      <c r="AR80" s="291"/>
      <c r="AS80" s="291"/>
      <c r="AT80" s="291"/>
      <c r="AU80" s="291"/>
      <c r="AV80" s="291"/>
      <c r="AW80" s="292"/>
    </row>
    <row r="81" spans="2:49" ht="15" customHeight="1">
      <c r="B81" s="160"/>
      <c r="C81" s="291" t="s">
        <v>446</v>
      </c>
      <c r="D81" s="291"/>
      <c r="E81" s="291"/>
      <c r="F81" s="291"/>
      <c r="G81" s="291"/>
      <c r="H81" s="291"/>
      <c r="I81" s="291"/>
      <c r="J81" s="291"/>
      <c r="K81" s="291"/>
      <c r="L81" s="291"/>
      <c r="M81" s="291"/>
      <c r="N81" s="291"/>
      <c r="O81" s="291"/>
      <c r="P81" s="291"/>
      <c r="Q81" s="291"/>
      <c r="R81" s="291"/>
      <c r="S81" s="291"/>
      <c r="T81" s="291"/>
      <c r="U81" s="291"/>
      <c r="V81" s="291"/>
      <c r="W81" s="291"/>
      <c r="X81" s="291"/>
      <c r="Y81" s="292"/>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2"/>
    </row>
    <row r="82" spans="2:49" ht="15" customHeight="1">
      <c r="B82" s="160"/>
      <c r="C82" s="291" t="s">
        <v>447</v>
      </c>
      <c r="D82" s="291"/>
      <c r="E82" s="291"/>
      <c r="F82" s="291"/>
      <c r="G82" s="291"/>
      <c r="H82" s="291"/>
      <c r="I82" s="291"/>
      <c r="J82" s="291"/>
      <c r="K82" s="291"/>
      <c r="L82" s="291" t="s">
        <v>451</v>
      </c>
      <c r="M82" s="291"/>
      <c r="N82" s="291"/>
      <c r="O82" s="291"/>
      <c r="P82" s="291"/>
      <c r="Q82" s="291"/>
      <c r="R82" s="291"/>
      <c r="S82" s="291"/>
      <c r="T82" s="291"/>
      <c r="U82" s="291"/>
      <c r="V82" s="291"/>
      <c r="W82" s="291"/>
      <c r="X82" s="291"/>
      <c r="Y82" s="292"/>
      <c r="Z82" s="291"/>
      <c r="AA82" s="291"/>
      <c r="AB82" s="291"/>
      <c r="AC82" s="291"/>
      <c r="AD82" s="291"/>
      <c r="AE82" s="291"/>
      <c r="AF82" s="291"/>
      <c r="AG82" s="291"/>
      <c r="AH82" s="291"/>
      <c r="AI82" s="291"/>
      <c r="AJ82" s="291"/>
      <c r="AK82" s="291"/>
      <c r="AL82" s="291"/>
      <c r="AM82" s="291"/>
      <c r="AN82" s="291"/>
      <c r="AO82" s="291"/>
      <c r="AP82" s="291"/>
      <c r="AQ82" s="291"/>
      <c r="AR82" s="291"/>
      <c r="AS82" s="291"/>
      <c r="AT82" s="291"/>
      <c r="AU82" s="291"/>
      <c r="AV82" s="291"/>
      <c r="AW82" s="292"/>
    </row>
    <row r="83" spans="2:49" ht="15" customHeight="1">
      <c r="B83" s="160"/>
      <c r="C83" s="291"/>
      <c r="D83" s="291"/>
      <c r="E83" s="291" t="s">
        <v>452</v>
      </c>
      <c r="F83" s="291"/>
      <c r="G83" s="291"/>
      <c r="H83" s="291"/>
      <c r="I83" s="291"/>
      <c r="J83" s="291"/>
      <c r="K83" s="291"/>
      <c r="L83" s="291"/>
      <c r="M83" s="291"/>
      <c r="N83" s="291"/>
      <c r="O83" s="291"/>
      <c r="P83" s="291"/>
      <c r="Q83" s="291"/>
      <c r="R83" s="291"/>
      <c r="S83" s="291"/>
      <c r="T83" s="291"/>
      <c r="U83" s="291"/>
      <c r="V83" s="291"/>
      <c r="W83" s="291"/>
      <c r="X83" s="291"/>
      <c r="Y83" s="292"/>
      <c r="Z83" s="291"/>
      <c r="AA83" s="291"/>
      <c r="AB83" s="291"/>
      <c r="AC83" s="291"/>
      <c r="AD83" s="291"/>
      <c r="AE83" s="291"/>
      <c r="AF83" s="291"/>
      <c r="AG83" s="291"/>
      <c r="AH83" s="291"/>
      <c r="AI83" s="291"/>
      <c r="AJ83" s="291"/>
      <c r="AK83" s="291"/>
      <c r="AL83" s="291"/>
      <c r="AM83" s="291"/>
      <c r="AN83" s="291"/>
      <c r="AO83" s="291"/>
      <c r="AP83" s="291"/>
      <c r="AQ83" s="291"/>
      <c r="AR83" s="291"/>
      <c r="AS83" s="291"/>
      <c r="AT83" s="291"/>
      <c r="AU83" s="291"/>
      <c r="AV83" s="291"/>
      <c r="AW83" s="292"/>
    </row>
    <row r="84" spans="2:49" ht="15" customHeight="1">
      <c r="B84" s="160"/>
      <c r="C84" s="291"/>
      <c r="D84" s="291"/>
      <c r="E84" s="291" t="s">
        <v>455</v>
      </c>
      <c r="F84" s="291"/>
      <c r="G84" s="291"/>
      <c r="H84" s="291"/>
      <c r="I84" s="291"/>
      <c r="J84" s="291"/>
      <c r="K84" s="291"/>
      <c r="L84" s="291"/>
      <c r="M84" s="291"/>
      <c r="N84" s="291"/>
      <c r="O84" s="291"/>
      <c r="P84" s="291"/>
      <c r="Q84" s="291"/>
      <c r="R84" s="291"/>
      <c r="S84" s="291"/>
      <c r="T84" s="291"/>
      <c r="U84" s="291"/>
      <c r="V84" s="291"/>
      <c r="W84" s="291"/>
      <c r="X84" s="291"/>
      <c r="Y84" s="292"/>
      <c r="Z84" s="291"/>
      <c r="AA84" s="291"/>
      <c r="AB84" s="291"/>
      <c r="AC84" s="291"/>
      <c r="AD84" s="291"/>
      <c r="AE84" s="291"/>
      <c r="AF84" s="291"/>
      <c r="AG84" s="291"/>
      <c r="AH84" s="291"/>
      <c r="AI84" s="291"/>
      <c r="AJ84" s="291"/>
      <c r="AK84" s="291"/>
      <c r="AL84" s="291"/>
      <c r="AM84" s="291"/>
      <c r="AN84" s="291"/>
      <c r="AO84" s="291"/>
      <c r="AP84" s="291"/>
      <c r="AQ84" s="291"/>
      <c r="AR84" s="291"/>
      <c r="AS84" s="291"/>
      <c r="AT84" s="291"/>
      <c r="AU84" s="291"/>
      <c r="AV84" s="291"/>
      <c r="AW84" s="292"/>
    </row>
    <row r="85" spans="2:49" ht="15" customHeight="1">
      <c r="B85" s="160"/>
      <c r="C85" s="291" t="s">
        <v>448</v>
      </c>
      <c r="D85" s="291"/>
      <c r="E85" s="291"/>
      <c r="F85" s="291"/>
      <c r="G85" s="291"/>
      <c r="H85" s="291"/>
      <c r="I85" s="291"/>
      <c r="J85" s="291"/>
      <c r="K85" s="291"/>
      <c r="L85" s="291"/>
      <c r="M85" s="291"/>
      <c r="N85" s="291"/>
      <c r="O85" s="291"/>
      <c r="P85" s="291"/>
      <c r="Q85" s="291"/>
      <c r="R85" s="291"/>
      <c r="S85" s="291"/>
      <c r="T85" s="291"/>
      <c r="U85" s="291"/>
      <c r="V85" s="291"/>
      <c r="W85" s="291"/>
      <c r="X85" s="291"/>
      <c r="Y85" s="292"/>
      <c r="Z85" s="291"/>
      <c r="AA85" s="291"/>
      <c r="AB85" s="291"/>
      <c r="AC85" s="291"/>
      <c r="AD85" s="291"/>
      <c r="AE85" s="291"/>
      <c r="AF85" s="291"/>
      <c r="AG85" s="291"/>
      <c r="AH85" s="291"/>
      <c r="AI85" s="291"/>
      <c r="AJ85" s="291"/>
      <c r="AK85" s="291"/>
      <c r="AL85" s="291"/>
      <c r="AM85" s="291"/>
      <c r="AN85" s="291"/>
      <c r="AO85" s="291"/>
      <c r="AP85" s="291"/>
      <c r="AQ85" s="291"/>
      <c r="AR85" s="291"/>
      <c r="AS85" s="291"/>
      <c r="AT85" s="291"/>
      <c r="AU85" s="291"/>
      <c r="AV85" s="291"/>
      <c r="AW85" s="292"/>
    </row>
    <row r="86" spans="2:49" ht="15" customHeight="1">
      <c r="B86" s="160"/>
      <c r="C86" s="291"/>
      <c r="D86" s="291" t="s">
        <v>240</v>
      </c>
      <c r="E86" s="291"/>
      <c r="F86" s="291"/>
      <c r="G86" s="291"/>
      <c r="H86" s="291"/>
      <c r="I86" s="291"/>
      <c r="J86" s="291"/>
      <c r="K86" s="291"/>
      <c r="L86" s="291" t="s">
        <v>449</v>
      </c>
      <c r="M86" s="291"/>
      <c r="N86" s="291"/>
      <c r="O86" s="291"/>
      <c r="P86" s="291"/>
      <c r="Q86" s="291"/>
      <c r="R86" s="291"/>
      <c r="S86" s="291"/>
      <c r="T86" s="291"/>
      <c r="U86" s="291"/>
      <c r="V86" s="291"/>
      <c r="W86" s="291"/>
      <c r="X86" s="291"/>
      <c r="Y86" s="292"/>
      <c r="Z86" s="291"/>
      <c r="AA86" s="291"/>
      <c r="AB86" s="291"/>
      <c r="AC86" s="291"/>
      <c r="AD86" s="291"/>
      <c r="AE86" s="291"/>
      <c r="AF86" s="291"/>
      <c r="AG86" s="291"/>
      <c r="AH86" s="291"/>
      <c r="AI86" s="291"/>
      <c r="AJ86" s="291"/>
      <c r="AK86" s="291"/>
      <c r="AL86" s="291"/>
      <c r="AM86" s="291"/>
      <c r="AN86" s="291"/>
      <c r="AO86" s="291"/>
      <c r="AP86" s="291"/>
      <c r="AQ86" s="291"/>
      <c r="AR86" s="291"/>
      <c r="AS86" s="291"/>
      <c r="AT86" s="291"/>
      <c r="AU86" s="291"/>
      <c r="AV86" s="291"/>
      <c r="AW86" s="292"/>
    </row>
    <row r="87" spans="2:49" ht="15" customHeight="1">
      <c r="B87" s="160"/>
      <c r="C87" s="291"/>
      <c r="D87" s="291"/>
      <c r="E87" s="291" t="s">
        <v>453</v>
      </c>
      <c r="F87" s="291"/>
      <c r="G87" s="291"/>
      <c r="H87" s="291"/>
      <c r="I87" s="291"/>
      <c r="J87" s="291"/>
      <c r="K87" s="291"/>
      <c r="L87" s="291"/>
      <c r="M87" s="291"/>
      <c r="N87" s="291"/>
      <c r="O87" s="291"/>
      <c r="P87" s="291"/>
      <c r="Q87" s="291"/>
      <c r="R87" s="291"/>
      <c r="S87" s="291"/>
      <c r="T87" s="291"/>
      <c r="U87" s="291"/>
      <c r="V87" s="291"/>
      <c r="W87" s="291"/>
      <c r="X87" s="291"/>
      <c r="Y87" s="292"/>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2"/>
    </row>
    <row r="88" spans="2:49" ht="15" customHeight="1">
      <c r="B88" s="160"/>
      <c r="C88" s="291"/>
      <c r="D88" s="291"/>
      <c r="E88" s="291"/>
      <c r="F88" s="291"/>
      <c r="G88" s="291"/>
      <c r="H88" s="291"/>
      <c r="I88" s="291"/>
      <c r="J88" s="291"/>
      <c r="K88" s="291"/>
      <c r="L88" s="291"/>
      <c r="M88" s="291"/>
      <c r="N88" s="291"/>
      <c r="O88" s="291"/>
      <c r="P88" s="291"/>
      <c r="Q88" s="291"/>
      <c r="R88" s="291"/>
      <c r="S88" s="291"/>
      <c r="T88" s="291"/>
      <c r="U88" s="291"/>
      <c r="V88" s="291"/>
      <c r="W88" s="291"/>
      <c r="X88" s="291"/>
      <c r="Y88" s="292"/>
      <c r="Z88" s="291"/>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1"/>
      <c r="AW88" s="292"/>
    </row>
    <row r="89" spans="2:49" ht="15" customHeight="1">
      <c r="B89" s="160" t="s">
        <v>456</v>
      </c>
      <c r="C89" s="291"/>
      <c r="D89" s="291"/>
      <c r="E89" s="291"/>
      <c r="F89" s="291"/>
      <c r="G89" s="291"/>
      <c r="H89" s="291"/>
      <c r="I89" s="291"/>
      <c r="J89" s="291"/>
      <c r="K89" s="291"/>
      <c r="L89" s="291"/>
      <c r="M89" s="291"/>
      <c r="N89" s="291"/>
      <c r="O89" s="291"/>
      <c r="P89" s="291"/>
      <c r="Q89" s="291"/>
      <c r="R89" s="291"/>
      <c r="S89" s="291"/>
      <c r="T89" s="291"/>
      <c r="U89" s="291"/>
      <c r="V89" s="291"/>
      <c r="W89" s="291"/>
      <c r="X89" s="291"/>
      <c r="Y89" s="292"/>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2"/>
    </row>
    <row r="90" spans="2:49" ht="15" customHeight="1">
      <c r="B90" s="160"/>
      <c r="C90" s="291" t="s">
        <v>446</v>
      </c>
      <c r="D90" s="291"/>
      <c r="E90" s="291"/>
      <c r="F90" s="291"/>
      <c r="G90" s="291"/>
      <c r="H90" s="291"/>
      <c r="I90" s="291"/>
      <c r="J90" s="291"/>
      <c r="K90" s="291"/>
      <c r="L90" s="291"/>
      <c r="M90" s="291"/>
      <c r="N90" s="291"/>
      <c r="O90" s="291"/>
      <c r="P90" s="291"/>
      <c r="Q90" s="291"/>
      <c r="R90" s="291"/>
      <c r="S90" s="291"/>
      <c r="T90" s="291"/>
      <c r="U90" s="291"/>
      <c r="V90" s="291"/>
      <c r="W90" s="291"/>
      <c r="X90" s="291"/>
      <c r="Y90" s="292"/>
      <c r="Z90" s="291"/>
      <c r="AA90" s="291"/>
      <c r="AB90" s="291"/>
      <c r="AC90" s="291"/>
      <c r="AD90" s="291"/>
      <c r="AE90" s="291"/>
      <c r="AF90" s="291"/>
      <c r="AG90" s="291"/>
      <c r="AH90" s="291"/>
      <c r="AI90" s="291"/>
      <c r="AJ90" s="291"/>
      <c r="AK90" s="291"/>
      <c r="AL90" s="291"/>
      <c r="AM90" s="291"/>
      <c r="AN90" s="291"/>
      <c r="AO90" s="291"/>
      <c r="AP90" s="291"/>
      <c r="AQ90" s="291"/>
      <c r="AR90" s="291"/>
      <c r="AS90" s="291"/>
      <c r="AT90" s="291"/>
      <c r="AU90" s="291"/>
      <c r="AV90" s="291"/>
      <c r="AW90" s="292"/>
    </row>
    <row r="91" spans="2:49" ht="15" customHeight="1">
      <c r="B91" s="160"/>
      <c r="C91" s="291" t="s">
        <v>447</v>
      </c>
      <c r="D91" s="291"/>
      <c r="E91" s="291"/>
      <c r="F91" s="291"/>
      <c r="G91" s="291"/>
      <c r="H91" s="291"/>
      <c r="I91" s="291"/>
      <c r="J91" s="291"/>
      <c r="K91" s="291"/>
      <c r="L91" s="291" t="s">
        <v>451</v>
      </c>
      <c r="M91" s="291"/>
      <c r="N91" s="291"/>
      <c r="O91" s="291"/>
      <c r="P91" s="291"/>
      <c r="Q91" s="291"/>
      <c r="R91" s="291"/>
      <c r="S91" s="291"/>
      <c r="T91" s="291"/>
      <c r="U91" s="291"/>
      <c r="V91" s="291"/>
      <c r="W91" s="291"/>
      <c r="X91" s="291"/>
      <c r="Y91" s="292"/>
      <c r="Z91" s="291"/>
      <c r="AA91" s="291"/>
      <c r="AB91" s="291"/>
      <c r="AC91" s="291"/>
      <c r="AD91" s="291"/>
      <c r="AE91" s="291"/>
      <c r="AF91" s="291"/>
      <c r="AG91" s="291"/>
      <c r="AH91" s="291"/>
      <c r="AI91" s="291"/>
      <c r="AJ91" s="291"/>
      <c r="AK91" s="291"/>
      <c r="AL91" s="291"/>
      <c r="AM91" s="291"/>
      <c r="AN91" s="291"/>
      <c r="AO91" s="291"/>
      <c r="AP91" s="291"/>
      <c r="AQ91" s="291"/>
      <c r="AR91" s="291"/>
      <c r="AS91" s="291"/>
      <c r="AT91" s="291"/>
      <c r="AU91" s="291"/>
      <c r="AV91" s="291"/>
      <c r="AW91" s="292"/>
    </row>
    <row r="92" spans="2:49" ht="15" customHeight="1">
      <c r="B92" s="160"/>
      <c r="C92" s="291"/>
      <c r="D92" s="291"/>
      <c r="E92" s="291" t="s">
        <v>452</v>
      </c>
      <c r="F92" s="291"/>
      <c r="G92" s="291"/>
      <c r="H92" s="291"/>
      <c r="I92" s="291"/>
      <c r="J92" s="291"/>
      <c r="K92" s="291"/>
      <c r="L92" s="291"/>
      <c r="M92" s="291"/>
      <c r="N92" s="291"/>
      <c r="O92" s="291"/>
      <c r="P92" s="291"/>
      <c r="Q92" s="291"/>
      <c r="R92" s="291"/>
      <c r="S92" s="291"/>
      <c r="T92" s="291"/>
      <c r="U92" s="291"/>
      <c r="V92" s="291"/>
      <c r="W92" s="291"/>
      <c r="X92" s="291"/>
      <c r="Y92" s="292"/>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1"/>
      <c r="AW92" s="292"/>
    </row>
    <row r="93" spans="2:49" ht="15" customHeight="1">
      <c r="B93" s="160"/>
      <c r="C93" s="291"/>
      <c r="D93" s="291"/>
      <c r="E93" s="291" t="s">
        <v>457</v>
      </c>
      <c r="F93" s="291"/>
      <c r="G93" s="291"/>
      <c r="H93" s="291"/>
      <c r="I93" s="291"/>
      <c r="J93" s="291"/>
      <c r="K93" s="291"/>
      <c r="L93" s="291"/>
      <c r="M93" s="291"/>
      <c r="N93" s="291"/>
      <c r="O93" s="291"/>
      <c r="P93" s="291"/>
      <c r="Q93" s="291"/>
      <c r="R93" s="291"/>
      <c r="S93" s="291"/>
      <c r="T93" s="291"/>
      <c r="U93" s="291"/>
      <c r="V93" s="291"/>
      <c r="W93" s="291"/>
      <c r="X93" s="291"/>
      <c r="Y93" s="292"/>
      <c r="Z93" s="291"/>
      <c r="AA93" s="291"/>
      <c r="AB93" s="291"/>
      <c r="AC93" s="291"/>
      <c r="AD93" s="291"/>
      <c r="AE93" s="291"/>
      <c r="AF93" s="291"/>
      <c r="AG93" s="291"/>
      <c r="AH93" s="291"/>
      <c r="AI93" s="291"/>
      <c r="AJ93" s="291"/>
      <c r="AK93" s="291"/>
      <c r="AL93" s="291"/>
      <c r="AM93" s="291"/>
      <c r="AN93" s="291"/>
      <c r="AO93" s="291"/>
      <c r="AP93" s="291"/>
      <c r="AQ93" s="291"/>
      <c r="AR93" s="291"/>
      <c r="AS93" s="291"/>
      <c r="AT93" s="291"/>
      <c r="AU93" s="291"/>
      <c r="AV93" s="291"/>
      <c r="AW93" s="292"/>
    </row>
    <row r="94" spans="2:49" ht="15" customHeight="1">
      <c r="B94" s="160"/>
      <c r="C94" s="291" t="s">
        <v>448</v>
      </c>
      <c r="D94" s="291"/>
      <c r="E94" s="291"/>
      <c r="F94" s="291"/>
      <c r="G94" s="291"/>
      <c r="H94" s="291"/>
      <c r="I94" s="291"/>
      <c r="J94" s="291"/>
      <c r="K94" s="291"/>
      <c r="L94" s="291"/>
      <c r="M94" s="291"/>
      <c r="N94" s="291"/>
      <c r="O94" s="291"/>
      <c r="P94" s="291"/>
      <c r="Q94" s="291"/>
      <c r="R94" s="291"/>
      <c r="S94" s="291"/>
      <c r="T94" s="291"/>
      <c r="U94" s="291"/>
      <c r="V94" s="291"/>
      <c r="W94" s="291"/>
      <c r="X94" s="291"/>
      <c r="Y94" s="292"/>
      <c r="Z94" s="291"/>
      <c r="AA94" s="291"/>
      <c r="AB94" s="291"/>
      <c r="AC94" s="291"/>
      <c r="AD94" s="291"/>
      <c r="AE94" s="291"/>
      <c r="AF94" s="291"/>
      <c r="AG94" s="291"/>
      <c r="AH94" s="291"/>
      <c r="AI94" s="291"/>
      <c r="AJ94" s="291"/>
      <c r="AK94" s="291"/>
      <c r="AL94" s="291"/>
      <c r="AM94" s="291"/>
      <c r="AN94" s="291"/>
      <c r="AO94" s="291"/>
      <c r="AP94" s="291"/>
      <c r="AQ94" s="291"/>
      <c r="AR94" s="291"/>
      <c r="AS94" s="291"/>
      <c r="AT94" s="291"/>
      <c r="AU94" s="291"/>
      <c r="AV94" s="291"/>
      <c r="AW94" s="292"/>
    </row>
    <row r="95" spans="2:49" ht="15" customHeight="1">
      <c r="B95" s="160"/>
      <c r="C95" s="291"/>
      <c r="D95" s="291" t="s">
        <v>240</v>
      </c>
      <c r="E95" s="291"/>
      <c r="F95" s="291"/>
      <c r="G95" s="291"/>
      <c r="H95" s="291"/>
      <c r="I95" s="291"/>
      <c r="J95" s="291"/>
      <c r="K95" s="291"/>
      <c r="L95" s="291" t="s">
        <v>449</v>
      </c>
      <c r="M95" s="291"/>
      <c r="N95" s="291"/>
      <c r="O95" s="291"/>
      <c r="P95" s="291"/>
      <c r="Q95" s="291"/>
      <c r="R95" s="291"/>
      <c r="S95" s="291"/>
      <c r="T95" s="291"/>
      <c r="U95" s="291"/>
      <c r="V95" s="291"/>
      <c r="W95" s="291"/>
      <c r="X95" s="291"/>
      <c r="Y95" s="292"/>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2"/>
    </row>
    <row r="96" spans="2:49" ht="15" customHeight="1">
      <c r="B96" s="160"/>
      <c r="C96" s="291"/>
      <c r="D96" s="291"/>
      <c r="E96" s="291" t="s">
        <v>453</v>
      </c>
      <c r="F96" s="291"/>
      <c r="G96" s="291"/>
      <c r="H96" s="291"/>
      <c r="I96" s="291"/>
      <c r="J96" s="291"/>
      <c r="K96" s="291"/>
      <c r="L96" s="291"/>
      <c r="M96" s="291"/>
      <c r="N96" s="291"/>
      <c r="O96" s="291"/>
      <c r="P96" s="291"/>
      <c r="Q96" s="291"/>
      <c r="R96" s="291"/>
      <c r="S96" s="291"/>
      <c r="T96" s="291"/>
      <c r="U96" s="291"/>
      <c r="V96" s="291"/>
      <c r="W96" s="291"/>
      <c r="X96" s="291"/>
      <c r="Y96" s="292"/>
      <c r="Z96" s="291"/>
      <c r="AA96" s="291"/>
      <c r="AB96" s="291"/>
      <c r="AC96" s="291"/>
      <c r="AD96" s="291"/>
      <c r="AE96" s="291"/>
      <c r="AF96" s="291"/>
      <c r="AG96" s="291"/>
      <c r="AH96" s="291"/>
      <c r="AI96" s="291"/>
      <c r="AJ96" s="291"/>
      <c r="AK96" s="291"/>
      <c r="AL96" s="291"/>
      <c r="AM96" s="291"/>
      <c r="AN96" s="291"/>
      <c r="AO96" s="291"/>
      <c r="AP96" s="291"/>
      <c r="AQ96" s="291"/>
      <c r="AR96" s="291"/>
      <c r="AS96" s="291"/>
      <c r="AT96" s="291"/>
      <c r="AU96" s="291"/>
      <c r="AV96" s="291"/>
      <c r="AW96" s="292"/>
    </row>
    <row r="97" spans="2:49" ht="15" customHeight="1">
      <c r="B97" s="160"/>
      <c r="C97" s="291"/>
      <c r="D97" s="291"/>
      <c r="E97" s="291"/>
      <c r="F97" s="291"/>
      <c r="G97" s="291"/>
      <c r="H97" s="291"/>
      <c r="I97" s="291"/>
      <c r="J97" s="291"/>
      <c r="K97" s="291"/>
      <c r="L97" s="291"/>
      <c r="M97" s="291"/>
      <c r="N97" s="291"/>
      <c r="O97" s="291"/>
      <c r="P97" s="291"/>
      <c r="Q97" s="291"/>
      <c r="R97" s="291"/>
      <c r="S97" s="291"/>
      <c r="T97" s="291"/>
      <c r="U97" s="291"/>
      <c r="V97" s="291"/>
      <c r="W97" s="291"/>
      <c r="X97" s="291"/>
      <c r="Y97" s="292"/>
      <c r="Z97" s="291"/>
      <c r="AA97" s="291"/>
      <c r="AB97" s="291"/>
      <c r="AC97" s="291"/>
      <c r="AD97" s="291"/>
      <c r="AE97" s="291"/>
      <c r="AF97" s="291"/>
      <c r="AG97" s="291"/>
      <c r="AH97" s="291"/>
      <c r="AI97" s="291"/>
      <c r="AJ97" s="291"/>
      <c r="AK97" s="291"/>
      <c r="AL97" s="291"/>
      <c r="AM97" s="291"/>
      <c r="AN97" s="291"/>
      <c r="AO97" s="291"/>
      <c r="AP97" s="291"/>
      <c r="AQ97" s="291"/>
      <c r="AR97" s="291"/>
      <c r="AS97" s="291"/>
      <c r="AT97" s="291"/>
      <c r="AU97" s="291"/>
      <c r="AV97" s="291"/>
      <c r="AW97" s="292"/>
    </row>
    <row r="98" spans="2:49" ht="15" customHeight="1">
      <c r="B98" s="160" t="s">
        <v>458</v>
      </c>
      <c r="C98" s="291"/>
      <c r="D98" s="291"/>
      <c r="E98" s="291"/>
      <c r="F98" s="291"/>
      <c r="G98" s="291"/>
      <c r="H98" s="291"/>
      <c r="I98" s="291"/>
      <c r="J98" s="291"/>
      <c r="K98" s="291"/>
      <c r="L98" s="291"/>
      <c r="M98" s="291"/>
      <c r="N98" s="291"/>
      <c r="O98" s="291"/>
      <c r="P98" s="291"/>
      <c r="Q98" s="291"/>
      <c r="R98" s="291"/>
      <c r="S98" s="291"/>
      <c r="T98" s="291"/>
      <c r="U98" s="291"/>
      <c r="V98" s="291"/>
      <c r="W98" s="291"/>
      <c r="X98" s="291"/>
      <c r="Y98" s="292"/>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c r="AV98" s="291"/>
      <c r="AW98" s="292"/>
    </row>
    <row r="99" spans="2:49" ht="15" customHeight="1">
      <c r="B99" s="160"/>
      <c r="C99" s="291" t="s">
        <v>446</v>
      </c>
      <c r="D99" s="291"/>
      <c r="E99" s="291"/>
      <c r="F99" s="291"/>
      <c r="G99" s="291"/>
      <c r="H99" s="291"/>
      <c r="I99" s="291"/>
      <c r="J99" s="291"/>
      <c r="K99" s="291"/>
      <c r="L99" s="291"/>
      <c r="M99" s="291"/>
      <c r="N99" s="291"/>
      <c r="O99" s="291"/>
      <c r="P99" s="291"/>
      <c r="Q99" s="291"/>
      <c r="R99" s="291"/>
      <c r="S99" s="291"/>
      <c r="T99" s="291"/>
      <c r="U99" s="291"/>
      <c r="V99" s="291"/>
      <c r="W99" s="291"/>
      <c r="X99" s="291"/>
      <c r="Y99" s="292"/>
      <c r="Z99" s="291"/>
      <c r="AA99" s="291"/>
      <c r="AB99" s="291"/>
      <c r="AC99" s="291"/>
      <c r="AD99" s="291"/>
      <c r="AE99" s="291"/>
      <c r="AF99" s="291"/>
      <c r="AG99" s="291"/>
      <c r="AH99" s="291"/>
      <c r="AI99" s="291"/>
      <c r="AJ99" s="291"/>
      <c r="AK99" s="291"/>
      <c r="AL99" s="291"/>
      <c r="AM99" s="291"/>
      <c r="AN99" s="291"/>
      <c r="AO99" s="291"/>
      <c r="AP99" s="291"/>
      <c r="AQ99" s="291"/>
      <c r="AR99" s="291"/>
      <c r="AS99" s="291"/>
      <c r="AT99" s="291"/>
      <c r="AU99" s="291"/>
      <c r="AV99" s="291"/>
      <c r="AW99" s="292"/>
    </row>
    <row r="100" spans="2:49" ht="15" customHeight="1">
      <c r="B100" s="160"/>
      <c r="C100" s="291" t="s">
        <v>447</v>
      </c>
      <c r="D100" s="291"/>
      <c r="E100" s="291"/>
      <c r="F100" s="291"/>
      <c r="G100" s="291"/>
      <c r="H100" s="291"/>
      <c r="I100" s="291"/>
      <c r="J100" s="291"/>
      <c r="K100" s="291"/>
      <c r="L100" s="291" t="s">
        <v>451</v>
      </c>
      <c r="M100" s="291"/>
      <c r="N100" s="291"/>
      <c r="O100" s="291"/>
      <c r="P100" s="291"/>
      <c r="Q100" s="291"/>
      <c r="R100" s="291"/>
      <c r="S100" s="291"/>
      <c r="T100" s="291"/>
      <c r="U100" s="291"/>
      <c r="V100" s="291"/>
      <c r="W100" s="291"/>
      <c r="X100" s="291"/>
      <c r="Y100" s="292"/>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2"/>
    </row>
    <row r="101" spans="2:49" ht="15" customHeight="1">
      <c r="B101" s="160"/>
      <c r="C101" s="291"/>
      <c r="D101" s="291"/>
      <c r="E101" s="291" t="s">
        <v>450</v>
      </c>
      <c r="F101" s="291"/>
      <c r="G101" s="291"/>
      <c r="H101" s="291"/>
      <c r="I101" s="291"/>
      <c r="J101" s="291"/>
      <c r="K101" s="291"/>
      <c r="L101" s="291"/>
      <c r="M101" s="291"/>
      <c r="N101" s="291"/>
      <c r="O101" s="291"/>
      <c r="P101" s="291"/>
      <c r="Q101" s="291"/>
      <c r="R101" s="291"/>
      <c r="S101" s="291"/>
      <c r="T101" s="291"/>
      <c r="U101" s="291"/>
      <c r="V101" s="291"/>
      <c r="W101" s="291"/>
      <c r="X101" s="291"/>
      <c r="Y101" s="292"/>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2"/>
    </row>
    <row r="102" spans="2:49" ht="15" customHeight="1">
      <c r="B102" s="160"/>
      <c r="C102" s="291"/>
      <c r="D102" s="291"/>
      <c r="E102" s="291" t="s">
        <v>459</v>
      </c>
      <c r="F102" s="291"/>
      <c r="G102" s="291"/>
      <c r="H102" s="291"/>
      <c r="I102" s="291"/>
      <c r="J102" s="291"/>
      <c r="K102" s="291"/>
      <c r="L102" s="291"/>
      <c r="M102" s="291"/>
      <c r="N102" s="291"/>
      <c r="O102" s="291"/>
      <c r="P102" s="291"/>
      <c r="Q102" s="291"/>
      <c r="R102" s="291"/>
      <c r="S102" s="291"/>
      <c r="T102" s="291"/>
      <c r="U102" s="291"/>
      <c r="V102" s="291"/>
      <c r="W102" s="291"/>
      <c r="X102" s="291"/>
      <c r="Y102" s="292"/>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c r="AV102" s="291"/>
      <c r="AW102" s="292"/>
    </row>
    <row r="103" spans="2:49" ht="15" customHeight="1">
      <c r="B103" s="160"/>
      <c r="C103" s="291" t="s">
        <v>448</v>
      </c>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2"/>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2"/>
    </row>
    <row r="104" spans="2:49" ht="15" customHeight="1">
      <c r="B104" s="160"/>
      <c r="C104" s="291"/>
      <c r="D104" s="291" t="s">
        <v>240</v>
      </c>
      <c r="E104" s="291"/>
      <c r="F104" s="291"/>
      <c r="G104" s="291"/>
      <c r="H104" s="291"/>
      <c r="I104" s="291"/>
      <c r="J104" s="291"/>
      <c r="K104" s="291"/>
      <c r="L104" s="291" t="s">
        <v>449</v>
      </c>
      <c r="M104" s="291"/>
      <c r="N104" s="291"/>
      <c r="O104" s="291"/>
      <c r="P104" s="291"/>
      <c r="Q104" s="291"/>
      <c r="R104" s="291"/>
      <c r="S104" s="291"/>
      <c r="T104" s="291"/>
      <c r="U104" s="291"/>
      <c r="V104" s="291"/>
      <c r="W104" s="291"/>
      <c r="X104" s="291"/>
      <c r="Y104" s="292"/>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2"/>
    </row>
    <row r="105" spans="2:49" ht="15" customHeight="1">
      <c r="B105" s="160"/>
      <c r="C105" s="291"/>
      <c r="D105" s="291"/>
      <c r="E105" s="291" t="s">
        <v>460</v>
      </c>
      <c r="F105" s="291"/>
      <c r="G105" s="291"/>
      <c r="H105" s="291"/>
      <c r="I105" s="291"/>
      <c r="J105" s="291"/>
      <c r="K105" s="291"/>
      <c r="L105" s="291"/>
      <c r="M105" s="291"/>
      <c r="N105" s="291"/>
      <c r="O105" s="291"/>
      <c r="P105" s="291"/>
      <c r="Q105" s="291"/>
      <c r="R105" s="291"/>
      <c r="S105" s="291"/>
      <c r="T105" s="291"/>
      <c r="U105" s="291"/>
      <c r="V105" s="291"/>
      <c r="W105" s="291"/>
      <c r="X105" s="291"/>
      <c r="Y105" s="292"/>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2"/>
    </row>
    <row r="106" spans="2:49" ht="15" customHeight="1">
      <c r="B106" s="160"/>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2"/>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2"/>
    </row>
    <row r="107" spans="2:49" ht="15" customHeight="1">
      <c r="B107" s="119"/>
      <c r="Y107" s="121"/>
      <c r="AW107" s="121"/>
    </row>
    <row r="108" spans="2:49" ht="15" customHeight="1">
      <c r="B108" s="119"/>
      <c r="Y108" s="121"/>
      <c r="AW108" s="121"/>
    </row>
    <row r="109" spans="2:49" ht="15" customHeight="1">
      <c r="B109" s="119"/>
      <c r="Y109" s="121"/>
      <c r="Z109" s="119"/>
      <c r="AW109" s="121"/>
    </row>
    <row r="110" spans="2:49" ht="15" customHeight="1">
      <c r="B110" s="119"/>
      <c r="Y110" s="121"/>
      <c r="Z110" s="119"/>
      <c r="AW110" s="121"/>
    </row>
    <row r="111" spans="2:49" ht="15" customHeight="1">
      <c r="B111" s="119"/>
      <c r="Y111" s="121"/>
      <c r="Z111" s="119"/>
      <c r="AW111" s="121"/>
    </row>
    <row r="112" spans="2:49" ht="15" customHeight="1">
      <c r="B112" s="119"/>
      <c r="Y112" s="121"/>
      <c r="Z112" s="119"/>
      <c r="AW112" s="121"/>
    </row>
    <row r="113" spans="2:49" ht="15" customHeight="1">
      <c r="B113" s="119"/>
      <c r="Y113" s="121"/>
      <c r="Z113" s="119"/>
      <c r="AW113" s="121"/>
    </row>
    <row r="114" spans="2:49" ht="15" customHeight="1">
      <c r="B114" s="119"/>
      <c r="Y114" s="121"/>
      <c r="Z114" s="119"/>
      <c r="AW114" s="121"/>
    </row>
    <row r="115" spans="2:49" ht="15" customHeight="1">
      <c r="B115" s="119"/>
      <c r="Y115" s="121"/>
      <c r="Z115" s="119"/>
      <c r="AW115" s="121"/>
    </row>
    <row r="116" spans="2:49" ht="15" customHeight="1">
      <c r="B116" s="119"/>
      <c r="Y116" s="121"/>
      <c r="Z116" s="119"/>
      <c r="AW116" s="121"/>
    </row>
    <row r="117" spans="2:49" ht="15" customHeight="1">
      <c r="B117" s="119"/>
      <c r="Y117" s="121"/>
      <c r="Z117" s="119"/>
      <c r="AW117" s="121"/>
    </row>
    <row r="118" spans="2:49" ht="15" customHeight="1">
      <c r="B118" s="119"/>
      <c r="Y118" s="121"/>
      <c r="Z118" s="119"/>
      <c r="AW118" s="121"/>
    </row>
    <row r="119" spans="2:49" ht="15" customHeight="1">
      <c r="B119" s="119"/>
      <c r="Y119" s="121"/>
      <c r="Z119" s="119"/>
      <c r="AW119" s="121"/>
    </row>
    <row r="120" spans="2:49" ht="15" customHeight="1">
      <c r="B120" s="119"/>
      <c r="Y120" s="121"/>
      <c r="Z120" s="119"/>
      <c r="AW120" s="121"/>
    </row>
    <row r="121" spans="2:49" ht="15" customHeight="1">
      <c r="B121" s="119"/>
      <c r="Y121" s="121"/>
      <c r="Z121" s="119"/>
      <c r="AW121" s="121"/>
    </row>
    <row r="122" spans="2:49" ht="15" customHeight="1">
      <c r="B122" s="119"/>
      <c r="Y122" s="121"/>
      <c r="Z122" s="119"/>
      <c r="AW122" s="121"/>
    </row>
    <row r="123" spans="2:49" ht="15" customHeight="1">
      <c r="B123" s="119"/>
      <c r="Y123" s="121"/>
      <c r="Z123" s="119"/>
      <c r="AW123" s="121"/>
    </row>
    <row r="124" spans="2:49" ht="15" customHeight="1">
      <c r="B124" s="119"/>
      <c r="Y124" s="121"/>
      <c r="Z124" s="119"/>
      <c r="AW124" s="121"/>
    </row>
    <row r="125" spans="2:49" ht="15" customHeight="1">
      <c r="B125" s="119"/>
      <c r="Y125" s="121"/>
      <c r="Z125" s="119"/>
      <c r="AW125" s="121"/>
    </row>
    <row r="126" spans="2:49" ht="15" customHeight="1">
      <c r="B126" s="119"/>
      <c r="Y126" s="121"/>
      <c r="Z126" s="119"/>
      <c r="AW126" s="121"/>
    </row>
    <row r="127" spans="2:49" ht="15" customHeight="1">
      <c r="B127" s="119"/>
      <c r="Y127" s="121"/>
      <c r="Z127" s="119"/>
      <c r="AW127" s="121"/>
    </row>
    <row r="128" spans="2:49" ht="15" customHeight="1">
      <c r="B128" s="119"/>
      <c r="Y128" s="121"/>
      <c r="Z128" s="119"/>
      <c r="AW128" s="121"/>
    </row>
    <row r="129" spans="2:49" ht="15" customHeight="1">
      <c r="B129" s="119"/>
      <c r="Y129" s="121"/>
      <c r="Z129" s="119"/>
      <c r="AW129" s="121"/>
    </row>
    <row r="130" spans="2:49" ht="15" customHeight="1">
      <c r="B130" s="119"/>
      <c r="Y130" s="121"/>
      <c r="Z130" s="119"/>
      <c r="AW130" s="121"/>
    </row>
    <row r="131" spans="2:49" ht="15" customHeight="1">
      <c r="B131" s="119"/>
      <c r="Y131" s="121"/>
      <c r="Z131" s="119"/>
      <c r="AW131" s="121"/>
    </row>
    <row r="132" spans="2:49" ht="15" customHeight="1">
      <c r="B132" s="119"/>
      <c r="Y132" s="121"/>
      <c r="Z132" s="119"/>
      <c r="AW132" s="121"/>
    </row>
    <row r="133" spans="2:49" ht="15" customHeight="1">
      <c r="B133" s="119"/>
      <c r="Y133" s="121"/>
      <c r="Z133" s="119"/>
      <c r="AW133" s="121"/>
    </row>
    <row r="134" spans="2:49" ht="15" customHeight="1">
      <c r="B134" s="119"/>
      <c r="Y134" s="121"/>
      <c r="Z134" s="119"/>
      <c r="AW134" s="121"/>
    </row>
    <row r="135" spans="2:49" ht="15" customHeight="1">
      <c r="B135" s="119"/>
      <c r="Y135" s="121"/>
      <c r="Z135" s="119"/>
      <c r="AW135" s="121"/>
    </row>
    <row r="136" spans="2:49" ht="15" customHeight="1">
      <c r="B136" s="119"/>
      <c r="Y136" s="121"/>
      <c r="Z136" s="119"/>
      <c r="AW136" s="121"/>
    </row>
    <row r="137" spans="2:49" ht="15" customHeight="1">
      <c r="B137" s="119"/>
      <c r="Y137" s="121"/>
      <c r="Z137" s="119"/>
      <c r="AW137" s="121"/>
    </row>
    <row r="138" spans="2:49" ht="15" customHeight="1">
      <c r="B138" s="119"/>
      <c r="Y138" s="121"/>
      <c r="Z138" s="119"/>
      <c r="AW138" s="121"/>
    </row>
    <row r="139" spans="2:49" ht="15" customHeight="1">
      <c r="B139" s="119"/>
      <c r="Y139" s="121"/>
      <c r="Z139" s="119"/>
      <c r="AW139" s="121"/>
    </row>
    <row r="140" spans="2:49" ht="15" customHeight="1">
      <c r="B140" s="119"/>
      <c r="Y140" s="121"/>
      <c r="Z140" s="119"/>
      <c r="AW140" s="121"/>
    </row>
    <row r="141" spans="2:49" ht="15" customHeight="1">
      <c r="B141" s="119"/>
      <c r="Y141" s="121"/>
      <c r="Z141" s="119"/>
      <c r="AW141" s="121"/>
    </row>
    <row r="142" spans="2:49">
      <c r="B142" s="119"/>
      <c r="Y142" s="121"/>
      <c r="Z142" s="119"/>
      <c r="AW142" s="121"/>
    </row>
    <row r="143" spans="2:49">
      <c r="B143" s="119"/>
      <c r="Y143" s="121"/>
      <c r="Z143" s="119"/>
      <c r="AW143" s="121"/>
    </row>
    <row r="144" spans="2:49">
      <c r="B144" s="119"/>
      <c r="Y144" s="121"/>
      <c r="Z144" s="119"/>
      <c r="AW144" s="121"/>
    </row>
    <row r="145" spans="2:49">
      <c r="B145" s="119"/>
      <c r="Y145" s="121"/>
      <c r="Z145" s="119"/>
      <c r="AW145" s="121"/>
    </row>
    <row r="146" spans="2:49">
      <c r="B146" s="119"/>
      <c r="Y146" s="121"/>
      <c r="Z146" s="119"/>
      <c r="AW146" s="121"/>
    </row>
    <row r="147" spans="2:49">
      <c r="B147" s="119"/>
      <c r="Y147" s="121"/>
      <c r="Z147" s="119"/>
      <c r="AW147" s="121"/>
    </row>
    <row r="148" spans="2:49">
      <c r="B148" s="119"/>
      <c r="Y148" s="121"/>
      <c r="Z148" s="119"/>
      <c r="AW148" s="121"/>
    </row>
    <row r="149" spans="2:49">
      <c r="B149" s="119"/>
      <c r="Y149" s="121"/>
      <c r="Z149" s="119"/>
      <c r="AW149" s="121"/>
    </row>
    <row r="150" spans="2:49">
      <c r="B150" s="119"/>
      <c r="Y150" s="121"/>
      <c r="Z150" s="119"/>
      <c r="AW150" s="121"/>
    </row>
    <row r="151" spans="2:49">
      <c r="B151" s="19"/>
      <c r="C151" s="20"/>
      <c r="D151" s="20"/>
      <c r="E151" s="20"/>
      <c r="F151" s="20"/>
      <c r="G151" s="20"/>
      <c r="H151" s="20"/>
      <c r="I151" s="20"/>
      <c r="J151" s="20"/>
      <c r="K151" s="20"/>
      <c r="L151" s="20"/>
      <c r="M151" s="20"/>
      <c r="N151" s="20"/>
      <c r="O151" s="20"/>
      <c r="P151" s="20"/>
      <c r="Q151" s="20"/>
      <c r="R151" s="20"/>
      <c r="S151" s="20"/>
      <c r="T151" s="20"/>
      <c r="U151" s="20"/>
      <c r="V151" s="20"/>
      <c r="W151" s="20"/>
      <c r="X151" s="20"/>
      <c r="Y151" s="21"/>
      <c r="Z151" s="19"/>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1"/>
    </row>
  </sheetData>
  <mergeCells count="2">
    <mergeCell ref="B2:Y3"/>
    <mergeCell ref="Z2:AW3"/>
  </mergeCells>
  <phoneticPr fontId="3"/>
  <hyperlinks>
    <hyperlink ref="A1" location="menu!A1" display="menu" xr:uid="{00000000-0004-0000-1500-000000000000}"/>
  </hyperlinks>
  <printOptions horizontalCentered="1"/>
  <pageMargins left="0.78740157480314965" right="0.39370078740157483" top="0.59055118110236227" bottom="0.59055118110236227" header="0.31496062992125984" footer="0.11811023622047245"/>
  <pageSetup paperSize="9" scale="65" orientation="portrait" r:id="rId1"/>
  <headerFooter>
    <oddFooter>&amp;C&amp;P</oddFooter>
  </headerFooter>
  <rowBreaks count="1" manualBreakCount="1">
    <brk id="78" min="1" max="4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8"/>
  <sheetViews>
    <sheetView showGridLines="0" view="pageBreakPreview" zoomScale="85" zoomScaleNormal="100" zoomScaleSheetLayoutView="85" workbookViewId="0">
      <selection activeCell="I22" sqref="I22"/>
    </sheetView>
  </sheetViews>
  <sheetFormatPr defaultRowHeight="18.75"/>
  <sheetData>
    <row r="1" spans="1:9">
      <c r="A1" s="298" t="s">
        <v>476</v>
      </c>
    </row>
    <row r="7" spans="1:9" ht="18.75" customHeight="1">
      <c r="B7" s="529" t="str">
        <f>+menu!F4</f>
        <v>令和6年度</v>
      </c>
      <c r="C7" s="529"/>
      <c r="D7" s="529"/>
    </row>
    <row r="8" spans="1:9" ht="18.75" customHeight="1">
      <c r="B8" s="529"/>
      <c r="C8" s="529"/>
      <c r="D8" s="529"/>
    </row>
    <row r="9" spans="1:9" ht="18.75" customHeight="1">
      <c r="B9" s="530" t="str">
        <f>+menu!F6</f>
        <v>鶴岡市集落排水事業</v>
      </c>
      <c r="C9" s="530"/>
      <c r="D9" s="530"/>
      <c r="E9" s="530"/>
      <c r="F9" s="530"/>
      <c r="G9" s="530"/>
      <c r="H9" s="530"/>
      <c r="I9" s="530"/>
    </row>
    <row r="10" spans="1:9" ht="18.75" customHeight="1">
      <c r="B10" s="530"/>
      <c r="C10" s="530"/>
      <c r="D10" s="530"/>
      <c r="E10" s="530"/>
      <c r="F10" s="530"/>
      <c r="G10" s="530"/>
      <c r="H10" s="530"/>
      <c r="I10" s="530"/>
    </row>
    <row r="11" spans="1:9" ht="18.75" customHeight="1">
      <c r="B11" s="530" t="str">
        <f>+menu!F8</f>
        <v>三瀬地区No.147-2号マンホールポンプ新設工事</v>
      </c>
      <c r="C11" s="530"/>
      <c r="D11" s="530"/>
      <c r="E11" s="530"/>
      <c r="F11" s="530"/>
      <c r="G11" s="530"/>
      <c r="H11" s="530"/>
      <c r="I11" s="530"/>
    </row>
    <row r="12" spans="1:9" ht="18.75" customHeight="1">
      <c r="B12" s="530"/>
      <c r="C12" s="530"/>
      <c r="D12" s="530"/>
      <c r="E12" s="530"/>
      <c r="F12" s="530"/>
      <c r="G12" s="530"/>
      <c r="H12" s="530"/>
      <c r="I12" s="530"/>
    </row>
    <row r="14" spans="1:9">
      <c r="B14" s="530" t="s">
        <v>212</v>
      </c>
      <c r="C14" s="530"/>
      <c r="D14" s="530"/>
      <c r="E14" s="530"/>
      <c r="F14" s="530"/>
      <c r="G14" s="530"/>
      <c r="H14" s="530"/>
      <c r="I14" s="530"/>
    </row>
    <row r="15" spans="1:9">
      <c r="B15" s="530"/>
      <c r="C15" s="530"/>
      <c r="D15" s="530"/>
      <c r="E15" s="530"/>
      <c r="F15" s="530"/>
      <c r="G15" s="530"/>
      <c r="H15" s="530"/>
      <c r="I15" s="530"/>
    </row>
    <row r="16" spans="1:9">
      <c r="B16" s="530" t="s">
        <v>213</v>
      </c>
      <c r="C16" s="530"/>
      <c r="D16" s="530"/>
      <c r="E16" s="530"/>
      <c r="F16" s="530"/>
      <c r="G16" s="530"/>
      <c r="H16" s="530"/>
      <c r="I16" s="530"/>
    </row>
    <row r="17" spans="2:9">
      <c r="B17" s="530"/>
      <c r="C17" s="530"/>
      <c r="D17" s="530"/>
      <c r="E17" s="530"/>
      <c r="F17" s="530"/>
      <c r="G17" s="530"/>
      <c r="H17" s="530"/>
      <c r="I17" s="530"/>
    </row>
    <row r="20" spans="2:9">
      <c r="B20" s="658" t="str">
        <f>+menu!F12</f>
        <v>No.147-2号マンホールポンプ</v>
      </c>
      <c r="C20" s="659"/>
      <c r="D20" s="659"/>
      <c r="E20" s="659"/>
      <c r="F20" s="659"/>
      <c r="G20" s="659"/>
      <c r="H20" s="659"/>
      <c r="I20" s="659"/>
    </row>
    <row r="21" spans="2:9">
      <c r="B21" s="659"/>
      <c r="C21" s="659"/>
      <c r="D21" s="659"/>
      <c r="E21" s="659"/>
      <c r="F21" s="659"/>
      <c r="G21" s="659"/>
      <c r="H21" s="659"/>
      <c r="I21" s="659"/>
    </row>
    <row r="24" spans="2:9" ht="25.5">
      <c r="E24" s="530" t="s">
        <v>911</v>
      </c>
      <c r="F24" s="532"/>
    </row>
    <row r="35" spans="2:9" ht="18.75" customHeight="1">
      <c r="B35" s="528" t="str">
        <f>+menu!F10</f>
        <v>鶴岡市三瀬　地内</v>
      </c>
      <c r="C35" s="528"/>
      <c r="D35" s="528"/>
      <c r="E35" s="528"/>
      <c r="F35" s="528"/>
      <c r="G35" s="528"/>
      <c r="H35" s="528"/>
      <c r="I35" s="528"/>
    </row>
    <row r="36" spans="2:9" ht="18.75" customHeight="1">
      <c r="B36" s="528"/>
      <c r="C36" s="528"/>
      <c r="D36" s="528"/>
      <c r="E36" s="528"/>
      <c r="F36" s="528"/>
      <c r="G36" s="528"/>
      <c r="H36" s="528"/>
      <c r="I36" s="528"/>
    </row>
    <row r="37" spans="2:9">
      <c r="B37" s="528" t="s">
        <v>211</v>
      </c>
      <c r="C37" s="528"/>
      <c r="D37" s="528"/>
      <c r="E37" s="528"/>
      <c r="F37" s="528"/>
      <c r="G37" s="528"/>
      <c r="H37" s="528"/>
      <c r="I37" s="528"/>
    </row>
    <row r="38" spans="2:9">
      <c r="B38" s="528"/>
      <c r="C38" s="528"/>
      <c r="D38" s="528"/>
      <c r="E38" s="528"/>
      <c r="F38" s="528"/>
      <c r="G38" s="528"/>
      <c r="H38" s="528"/>
      <c r="I38" s="528"/>
    </row>
  </sheetData>
  <mergeCells count="9">
    <mergeCell ref="E24:F24"/>
    <mergeCell ref="B35:I36"/>
    <mergeCell ref="B37:I38"/>
    <mergeCell ref="B7:D8"/>
    <mergeCell ref="B9:I10"/>
    <mergeCell ref="B11:I12"/>
    <mergeCell ref="B14:I15"/>
    <mergeCell ref="B16:I17"/>
    <mergeCell ref="B20:I21"/>
  </mergeCells>
  <phoneticPr fontId="3"/>
  <hyperlinks>
    <hyperlink ref="A1" location="menu!A1" display="menu" xr:uid="{00000000-0004-0000-1600-000000000000}"/>
  </hyperlink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219"/>
  <sheetViews>
    <sheetView showGridLines="0" showZeros="0" view="pageBreakPreview" topLeftCell="A36" zoomScale="85" zoomScaleNormal="85" zoomScaleSheetLayoutView="85" workbookViewId="0">
      <selection activeCell="H48" sqref="H48"/>
    </sheetView>
  </sheetViews>
  <sheetFormatPr defaultRowHeight="18.75"/>
  <cols>
    <col min="2" max="4" width="12.625" customWidth="1"/>
    <col min="5" max="5" width="23.625" customWidth="1"/>
    <col min="7" max="7" width="5.625" customWidth="1"/>
    <col min="8" max="9" width="12.625" customWidth="1"/>
    <col min="10" max="10" width="20.625" customWidth="1"/>
    <col min="12" max="17" width="9" customWidth="1"/>
  </cols>
  <sheetData>
    <row r="1" spans="1:13">
      <c r="A1" s="298" t="s">
        <v>476</v>
      </c>
    </row>
    <row r="2" spans="1:13">
      <c r="B2" s="16"/>
      <c r="C2" s="17"/>
      <c r="D2" s="545" t="s">
        <v>111</v>
      </c>
      <c r="E2" s="546"/>
      <c r="F2" s="546"/>
      <c r="G2" s="546"/>
      <c r="H2" s="546"/>
      <c r="I2" s="546"/>
      <c r="J2" s="18"/>
    </row>
    <row r="3" spans="1:13">
      <c r="B3" s="19"/>
      <c r="C3" s="20"/>
      <c r="D3" s="547"/>
      <c r="E3" s="547"/>
      <c r="F3" s="547"/>
      <c r="G3" s="547"/>
      <c r="H3" s="547"/>
      <c r="I3" s="547"/>
      <c r="J3" s="103" t="s">
        <v>112</v>
      </c>
    </row>
    <row r="4" spans="1:13">
      <c r="B4" s="552" t="s">
        <v>113</v>
      </c>
      <c r="C4" s="552" t="s">
        <v>114</v>
      </c>
      <c r="D4" s="552" t="s">
        <v>115</v>
      </c>
      <c r="E4" s="552"/>
      <c r="F4" s="552" t="s">
        <v>2</v>
      </c>
      <c r="G4" s="552" t="s">
        <v>3</v>
      </c>
      <c r="H4" s="552" t="s">
        <v>6</v>
      </c>
      <c r="I4" s="552" t="s">
        <v>7</v>
      </c>
      <c r="J4" s="552" t="s">
        <v>8</v>
      </c>
    </row>
    <row r="5" spans="1:13" ht="19.5" thickBot="1">
      <c r="B5" s="660"/>
      <c r="C5" s="660"/>
      <c r="D5" s="660"/>
      <c r="E5" s="660"/>
      <c r="F5" s="660"/>
      <c r="G5" s="660"/>
      <c r="H5" s="660"/>
      <c r="I5" s="660"/>
      <c r="J5" s="660"/>
    </row>
    <row r="6" spans="1:13" ht="19.5" thickTop="1">
      <c r="B6" s="130" t="s">
        <v>297</v>
      </c>
      <c r="C6" s="130"/>
      <c r="D6" s="130"/>
      <c r="E6" s="130"/>
      <c r="F6" s="51"/>
      <c r="G6" s="51"/>
      <c r="H6" s="51"/>
      <c r="I6" s="51"/>
      <c r="J6" s="53"/>
    </row>
    <row r="7" spans="1:13">
      <c r="B7" s="1"/>
      <c r="C7" s="1"/>
      <c r="D7" s="1"/>
      <c r="E7" s="1"/>
      <c r="F7" s="1"/>
      <c r="G7" s="1"/>
      <c r="H7" s="1"/>
      <c r="I7" s="1"/>
      <c r="J7" s="9"/>
    </row>
    <row r="8" spans="1:13">
      <c r="B8" s="2"/>
      <c r="C8" s="2" t="s">
        <v>116</v>
      </c>
      <c r="D8" s="2"/>
      <c r="E8" s="2"/>
      <c r="F8" s="3"/>
      <c r="G8" s="3"/>
      <c r="H8" s="3"/>
      <c r="I8" s="3"/>
      <c r="J8" s="8"/>
    </row>
    <row r="9" spans="1:13">
      <c r="B9" s="1"/>
      <c r="C9" s="1"/>
      <c r="D9" s="1"/>
      <c r="E9" s="1"/>
      <c r="F9" s="1"/>
      <c r="G9" s="1"/>
      <c r="H9" s="1"/>
      <c r="I9" s="1"/>
      <c r="J9" s="9"/>
    </row>
    <row r="10" spans="1:13">
      <c r="B10" s="2"/>
      <c r="C10" s="2"/>
      <c r="D10" s="2" t="s">
        <v>10</v>
      </c>
      <c r="E10" s="2"/>
      <c r="F10" s="3"/>
      <c r="G10" s="3"/>
      <c r="H10" s="3"/>
      <c r="I10" s="3"/>
      <c r="J10" s="8"/>
    </row>
    <row r="11" spans="1:13">
      <c r="B11" s="1"/>
      <c r="C11" s="1"/>
      <c r="D11" s="1"/>
      <c r="E11" s="1"/>
      <c r="F11" s="1"/>
      <c r="G11" s="1"/>
      <c r="H11" s="1"/>
      <c r="I11" s="1"/>
      <c r="J11" s="9"/>
    </row>
    <row r="12" spans="1:13">
      <c r="B12" s="2"/>
      <c r="C12" s="2"/>
      <c r="D12" s="2"/>
      <c r="E12" s="2" t="s">
        <v>10</v>
      </c>
      <c r="F12" s="4">
        <f>+IF(H12&gt;0,1,0)</f>
        <v>0</v>
      </c>
      <c r="G12" s="105" t="s">
        <v>117</v>
      </c>
      <c r="H12" s="127">
        <f>+'明細(機械)単独'!G47</f>
        <v>0</v>
      </c>
      <c r="I12" s="106">
        <f>+IF(F12&gt;0,F12*H12,0)</f>
        <v>0</v>
      </c>
      <c r="J12" s="8"/>
      <c r="L12" s="107"/>
      <c r="M12" s="107">
        <f>+I13</f>
        <v>0</v>
      </c>
    </row>
    <row r="13" spans="1:13">
      <c r="B13" s="1"/>
      <c r="C13" s="1"/>
      <c r="D13" s="1"/>
      <c r="E13" s="6"/>
      <c r="F13" s="129">
        <f>+IF(H13&gt;0,1,0)</f>
        <v>0</v>
      </c>
      <c r="G13" s="109"/>
      <c r="H13" s="128">
        <f>+'明細(機械)単独'!G48</f>
        <v>0</v>
      </c>
      <c r="I13" s="110">
        <f>+IF(F13&gt;0,F13*H13,0)</f>
        <v>0</v>
      </c>
      <c r="J13" s="9"/>
      <c r="L13" s="111"/>
      <c r="M13" s="111"/>
    </row>
    <row r="14" spans="1:13">
      <c r="B14" s="2"/>
      <c r="C14" s="2"/>
      <c r="D14" s="2"/>
      <c r="E14" s="2" t="s">
        <v>118</v>
      </c>
      <c r="F14" s="4">
        <f>+IF(I14&gt;0,1,0)</f>
        <v>0</v>
      </c>
      <c r="G14" s="105" t="s">
        <v>117</v>
      </c>
      <c r="H14" s="4"/>
      <c r="I14" s="106">
        <f>+I12</f>
        <v>0</v>
      </c>
      <c r="J14" s="8" t="s">
        <v>119</v>
      </c>
      <c r="L14" s="112"/>
      <c r="M14" s="112">
        <f>+SUM(M12:M13)</f>
        <v>0</v>
      </c>
    </row>
    <row r="15" spans="1:13">
      <c r="B15" s="1"/>
      <c r="C15" s="1"/>
      <c r="D15" s="1"/>
      <c r="E15" s="6"/>
      <c r="F15" s="129">
        <f>+IF(I15&gt;0,1,0)</f>
        <v>0</v>
      </c>
      <c r="G15" s="109"/>
      <c r="H15" s="5"/>
      <c r="I15" s="110">
        <f>+I13</f>
        <v>0</v>
      </c>
      <c r="J15" s="9"/>
      <c r="L15" s="36"/>
    </row>
    <row r="16" spans="1:13">
      <c r="B16" s="2"/>
      <c r="C16" s="2"/>
      <c r="D16" s="2" t="s">
        <v>120</v>
      </c>
      <c r="E16" s="2"/>
      <c r="F16" s="3"/>
      <c r="G16" s="3"/>
      <c r="H16" s="3"/>
      <c r="I16" s="3"/>
      <c r="J16" s="8"/>
    </row>
    <row r="17" spans="2:19">
      <c r="B17" s="1"/>
      <c r="C17" s="1"/>
      <c r="D17" s="1"/>
      <c r="E17" s="1"/>
      <c r="F17" s="1"/>
      <c r="G17" s="1"/>
      <c r="H17" s="1"/>
      <c r="I17" s="1"/>
      <c r="J17" s="9"/>
    </row>
    <row r="18" spans="2:19">
      <c r="B18" s="2"/>
      <c r="C18" s="2"/>
      <c r="D18" s="2"/>
      <c r="E18" s="2" t="s">
        <v>194</v>
      </c>
      <c r="F18" s="4">
        <f>+IF(H18&gt;0,1,0)</f>
        <v>0</v>
      </c>
      <c r="G18" s="105" t="s">
        <v>117</v>
      </c>
      <c r="H18" s="127">
        <f>+'明細(機械)単独'!O47</f>
        <v>0</v>
      </c>
      <c r="I18" s="106">
        <f>+IF(F18&gt;0,F18*H18,0)</f>
        <v>0</v>
      </c>
      <c r="J18" s="8"/>
      <c r="L18" s="107"/>
      <c r="M18" s="107">
        <f>+I19</f>
        <v>0</v>
      </c>
      <c r="N18" s="113"/>
      <c r="O18" s="113"/>
    </row>
    <row r="19" spans="2:19">
      <c r="B19" s="1"/>
      <c r="C19" s="1"/>
      <c r="D19" s="1"/>
      <c r="E19" s="6" t="s">
        <v>195</v>
      </c>
      <c r="F19" s="129">
        <f>+IF(H19&gt;0,1,0)</f>
        <v>0</v>
      </c>
      <c r="G19" s="109"/>
      <c r="H19" s="128">
        <f>+'明細(機械)単独'!O48</f>
        <v>0</v>
      </c>
      <c r="I19" s="110">
        <f>+IF(F19&gt;0,F19*H19,0)</f>
        <v>0</v>
      </c>
      <c r="J19" s="9"/>
      <c r="L19" s="111"/>
      <c r="M19" s="111"/>
    </row>
    <row r="20" spans="2:19">
      <c r="B20" s="2"/>
      <c r="C20" s="2"/>
      <c r="D20" s="2"/>
      <c r="E20" s="2" t="s">
        <v>194</v>
      </c>
      <c r="F20" s="4">
        <f>+IF(H20&gt;0,1,0)</f>
        <v>0</v>
      </c>
      <c r="G20" s="105" t="s">
        <v>117</v>
      </c>
      <c r="H20" s="127">
        <f>+'明細(機械)単独'!W47</f>
        <v>0</v>
      </c>
      <c r="I20" s="106">
        <f t="shared" ref="I20:I21" si="0">+IF(F20&gt;0,F20*H20,0)</f>
        <v>0</v>
      </c>
      <c r="J20" s="8"/>
      <c r="L20" s="107"/>
      <c r="M20" s="107">
        <f t="shared" ref="M20" si="1">+I21</f>
        <v>0</v>
      </c>
      <c r="N20" s="36"/>
      <c r="P20" s="113"/>
      <c r="Q20" s="113"/>
    </row>
    <row r="21" spans="2:19">
      <c r="B21" s="1"/>
      <c r="C21" s="1"/>
      <c r="D21" s="1"/>
      <c r="E21" s="6" t="s">
        <v>21</v>
      </c>
      <c r="F21" s="129">
        <f>+IF(H21&gt;0,1,0)</f>
        <v>0</v>
      </c>
      <c r="G21" s="109"/>
      <c r="H21" s="128">
        <f>+'明細(機械)単独'!W48</f>
        <v>0</v>
      </c>
      <c r="I21" s="110">
        <f t="shared" si="0"/>
        <v>0</v>
      </c>
      <c r="J21" s="9"/>
      <c r="L21" s="111"/>
      <c r="M21" s="111"/>
      <c r="N21" s="36"/>
    </row>
    <row r="22" spans="2:19">
      <c r="B22" s="2"/>
      <c r="C22" s="2"/>
      <c r="D22" s="2"/>
      <c r="E22" s="2" t="s">
        <v>199</v>
      </c>
      <c r="F22" s="114">
        <f>+IF(H22&gt;0,4,0)</f>
        <v>0</v>
      </c>
      <c r="G22" s="105" t="s">
        <v>123</v>
      </c>
      <c r="H22" s="127">
        <f>+SUM(I18,I20)</f>
        <v>0</v>
      </c>
      <c r="I22" s="106">
        <f>+IF(F22&gt;0,F22*H22%,0)</f>
        <v>0</v>
      </c>
      <c r="J22" s="8" t="s">
        <v>201</v>
      </c>
      <c r="L22" s="107"/>
      <c r="M22" s="107">
        <f t="shared" ref="M22" si="2">+I23</f>
        <v>0</v>
      </c>
      <c r="O22" s="36"/>
      <c r="R22" s="113"/>
      <c r="S22" s="113"/>
    </row>
    <row r="23" spans="2:19">
      <c r="B23" s="1"/>
      <c r="C23" s="1"/>
      <c r="D23" s="1"/>
      <c r="E23" s="6"/>
      <c r="F23" s="115">
        <f>+IF(H23&gt;0,4,0)</f>
        <v>0</v>
      </c>
      <c r="G23" s="109"/>
      <c r="H23" s="128">
        <f>+SUM(I19,I21)</f>
        <v>0</v>
      </c>
      <c r="I23" s="110">
        <f>+IF(F23&gt;0,F23*H23%,0)</f>
        <v>0</v>
      </c>
      <c r="J23" s="116" t="s">
        <v>925</v>
      </c>
      <c r="L23" s="111"/>
      <c r="M23" s="111"/>
      <c r="O23" s="36"/>
    </row>
    <row r="24" spans="2:19">
      <c r="B24" s="2"/>
      <c r="C24" s="2"/>
      <c r="D24" s="2"/>
      <c r="E24" s="131" t="s">
        <v>206</v>
      </c>
      <c r="F24" s="4">
        <f>+IF(I24&gt;0,1,0)</f>
        <v>0</v>
      </c>
      <c r="G24" s="105" t="s">
        <v>117</v>
      </c>
      <c r="H24" s="4"/>
      <c r="I24" s="106">
        <f>+SUM(I18,I20,I22)</f>
        <v>0</v>
      </c>
      <c r="J24" s="8"/>
      <c r="L24" s="112"/>
      <c r="M24" s="112">
        <f>+SUM(M18:M23)</f>
        <v>0</v>
      </c>
      <c r="N24" s="113"/>
      <c r="O24" s="113"/>
    </row>
    <row r="25" spans="2:19">
      <c r="B25" s="1"/>
      <c r="C25" s="1"/>
      <c r="D25" s="1"/>
      <c r="E25" s="6"/>
      <c r="F25" s="5">
        <f>+IF(I25&gt;0,1,0)</f>
        <v>0</v>
      </c>
      <c r="G25" s="109"/>
      <c r="H25" s="5"/>
      <c r="I25" s="110">
        <f>+SUM(I19,I21,I23)</f>
        <v>0</v>
      </c>
      <c r="J25" s="9"/>
      <c r="L25" s="36"/>
    </row>
    <row r="26" spans="2:19">
      <c r="B26" s="2"/>
      <c r="C26" s="2"/>
      <c r="D26" s="2"/>
      <c r="E26" s="2" t="s">
        <v>202</v>
      </c>
      <c r="F26" s="4">
        <f>+IF(H26&gt;0,1,0)</f>
        <v>0</v>
      </c>
      <c r="G26" s="105" t="s">
        <v>117</v>
      </c>
      <c r="H26" s="127">
        <f>+'明細(機械)単独'!AE47</f>
        <v>0</v>
      </c>
      <c r="I26" s="106">
        <f>+IF(F26&gt;0,F26*H26,0)</f>
        <v>0</v>
      </c>
      <c r="J26" s="8"/>
      <c r="L26" s="36"/>
    </row>
    <row r="27" spans="2:19">
      <c r="B27" s="1"/>
      <c r="C27" s="1"/>
      <c r="D27" s="1"/>
      <c r="E27" s="6" t="s">
        <v>23</v>
      </c>
      <c r="F27" s="129">
        <f>+IF(H27&gt;0,1,0)</f>
        <v>0</v>
      </c>
      <c r="G27" s="109"/>
      <c r="H27" s="128">
        <f>+'明細(機械)単独'!AE48</f>
        <v>0</v>
      </c>
      <c r="I27" s="110">
        <f>+IF(F27&gt;0,F27*H27,0)</f>
        <v>0</v>
      </c>
      <c r="J27" s="9"/>
      <c r="L27" s="36"/>
    </row>
    <row r="28" spans="2:19">
      <c r="B28" s="2"/>
      <c r="C28" s="2"/>
      <c r="D28" s="2"/>
      <c r="E28" s="2" t="s">
        <v>202</v>
      </c>
      <c r="F28" s="4">
        <f>+IF(H28&gt;0,1,0)</f>
        <v>0</v>
      </c>
      <c r="G28" s="105" t="s">
        <v>117</v>
      </c>
      <c r="H28" s="127">
        <f>+'明細(機械)単独'!AM47</f>
        <v>0</v>
      </c>
      <c r="I28" s="106">
        <f>+IF(F28&gt;0,F28*H28,0)</f>
        <v>0</v>
      </c>
      <c r="J28" s="8"/>
      <c r="L28" s="36"/>
    </row>
    <row r="29" spans="2:19">
      <c r="B29" s="1"/>
      <c r="C29" s="1"/>
      <c r="D29" s="1"/>
      <c r="E29" s="6" t="s">
        <v>29</v>
      </c>
      <c r="F29" s="110">
        <f>+IF(H29&gt;0,1,0)</f>
        <v>0</v>
      </c>
      <c r="G29" s="109"/>
      <c r="H29" s="128">
        <f>+'明細(機械)単独'!AM48</f>
        <v>0</v>
      </c>
      <c r="I29" s="110">
        <f t="shared" ref="I29" si="3">+IF(F29&gt;0,F29*H29,0)</f>
        <v>0</v>
      </c>
      <c r="J29" s="9"/>
      <c r="L29" s="36"/>
    </row>
    <row r="30" spans="2:19">
      <c r="B30" s="2"/>
      <c r="C30" s="2"/>
      <c r="D30" s="2"/>
      <c r="E30" s="131" t="s">
        <v>207</v>
      </c>
      <c r="F30" s="4">
        <f>+IF(I30&gt;0,1,0)</f>
        <v>0</v>
      </c>
      <c r="G30" s="105" t="s">
        <v>117</v>
      </c>
      <c r="H30" s="4"/>
      <c r="I30" s="106">
        <f>+SUM(I26,I28)</f>
        <v>0</v>
      </c>
      <c r="J30" s="8"/>
      <c r="L30" s="36"/>
    </row>
    <row r="31" spans="2:19">
      <c r="B31" s="1"/>
      <c r="C31" s="1"/>
      <c r="D31" s="1"/>
      <c r="E31" s="6"/>
      <c r="F31" s="5">
        <f>+IF(I31&gt;0,1,0)</f>
        <v>0</v>
      </c>
      <c r="G31" s="109"/>
      <c r="H31" s="5"/>
      <c r="I31" s="110">
        <f>+SUM(I27,I29)</f>
        <v>0</v>
      </c>
      <c r="J31" s="9"/>
      <c r="L31" s="36"/>
    </row>
    <row r="32" spans="2:19">
      <c r="B32" s="2"/>
      <c r="C32" s="2"/>
      <c r="D32" s="2"/>
      <c r="E32" s="2" t="s">
        <v>203</v>
      </c>
      <c r="F32" s="114">
        <f>+IF(H32&gt;0,2,0)</f>
        <v>0</v>
      </c>
      <c r="G32" s="105"/>
      <c r="H32" s="4">
        <f>+I30</f>
        <v>0</v>
      </c>
      <c r="I32" s="106">
        <f>+IF(F32&gt;0,F32*H32%,0)</f>
        <v>0</v>
      </c>
      <c r="J32" s="45" t="s">
        <v>205</v>
      </c>
      <c r="L32" s="36"/>
    </row>
    <row r="33" spans="2:12">
      <c r="B33" s="1"/>
      <c r="C33" s="1"/>
      <c r="D33" s="1"/>
      <c r="E33" s="6" t="s">
        <v>204</v>
      </c>
      <c r="F33" s="115">
        <f>+IF(H33&gt;0,2,0)</f>
        <v>0</v>
      </c>
      <c r="G33" s="109"/>
      <c r="H33" s="5">
        <f>+I31</f>
        <v>0</v>
      </c>
      <c r="I33" s="110">
        <f>+IF(F33&gt;0,F33*H33%,0)</f>
        <v>0</v>
      </c>
      <c r="J33" s="116"/>
      <c r="L33" s="36"/>
    </row>
    <row r="34" spans="2:12">
      <c r="B34" s="2"/>
      <c r="C34" s="2"/>
      <c r="D34" s="2"/>
      <c r="E34" s="131" t="s">
        <v>208</v>
      </c>
      <c r="F34" s="4">
        <f>+IF(I34&gt;0,1,0)</f>
        <v>0</v>
      </c>
      <c r="G34" s="105" t="s">
        <v>117</v>
      </c>
      <c r="H34" s="4"/>
      <c r="I34" s="106">
        <f>+I32</f>
        <v>0</v>
      </c>
      <c r="J34" s="8"/>
      <c r="L34" s="36"/>
    </row>
    <row r="35" spans="2:12">
      <c r="B35" s="1"/>
      <c r="C35" s="1"/>
      <c r="D35" s="1"/>
      <c r="E35" s="6"/>
      <c r="F35" s="5">
        <f>+IF(I35&gt;0,1,0)</f>
        <v>0</v>
      </c>
      <c r="G35" s="109"/>
      <c r="H35" s="5"/>
      <c r="I35" s="110">
        <f>+I33</f>
        <v>0</v>
      </c>
      <c r="J35" s="9"/>
      <c r="L35" s="36"/>
    </row>
    <row r="36" spans="2:12">
      <c r="B36" s="2"/>
      <c r="C36" s="2"/>
      <c r="D36" s="2"/>
      <c r="E36" s="2" t="s">
        <v>31</v>
      </c>
      <c r="F36" s="4">
        <f>+IF(H36&gt;0,1,0)</f>
        <v>0</v>
      </c>
      <c r="G36" s="105" t="s">
        <v>117</v>
      </c>
      <c r="H36" s="4">
        <f>'明細(機械)単独'!BS47+'明細(機械)単独'!AU47</f>
        <v>0</v>
      </c>
      <c r="I36" s="106">
        <f>+IF(F36&gt;0,F36*H36,0)</f>
        <v>0</v>
      </c>
      <c r="J36" s="8" t="s">
        <v>196</v>
      </c>
      <c r="L36" s="36"/>
    </row>
    <row r="37" spans="2:12">
      <c r="B37" s="1"/>
      <c r="C37" s="1"/>
      <c r="D37" s="1"/>
      <c r="E37" s="6"/>
      <c r="F37" s="129">
        <f>+IF(H37&gt;0,1,0)</f>
        <v>0</v>
      </c>
      <c r="G37" s="109"/>
      <c r="H37" s="5">
        <f>+'明細(機械)単独'!AU48</f>
        <v>0</v>
      </c>
      <c r="I37" s="110">
        <f>+IF(F37&gt;0,F37*H37,0)</f>
        <v>0</v>
      </c>
      <c r="J37" s="9"/>
      <c r="L37" s="36"/>
    </row>
    <row r="38" spans="2:12">
      <c r="B38" s="2"/>
      <c r="C38" s="2"/>
      <c r="D38" s="2"/>
      <c r="E38" s="2" t="s">
        <v>42</v>
      </c>
      <c r="F38" s="4">
        <f>+IF(H38&gt;0,1,0)</f>
        <v>0</v>
      </c>
      <c r="G38" s="105" t="s">
        <v>117</v>
      </c>
      <c r="H38" s="4">
        <f>+'明細(機械)単独'!BC47</f>
        <v>0</v>
      </c>
      <c r="I38" s="106">
        <f>+IF(F38&gt;0,F38*H38,0)</f>
        <v>0</v>
      </c>
      <c r="J38" s="8" t="s">
        <v>197</v>
      </c>
      <c r="L38" s="36"/>
    </row>
    <row r="39" spans="2:12">
      <c r="B39" s="1"/>
      <c r="C39" s="1"/>
      <c r="D39" s="1"/>
      <c r="E39" s="6"/>
      <c r="F39" s="129">
        <f>+IF(H39&gt;0,1,0)</f>
        <v>0</v>
      </c>
      <c r="G39" s="109"/>
      <c r="H39" s="5">
        <f>+'明細(機械)単独'!BC48</f>
        <v>0</v>
      </c>
      <c r="I39" s="110">
        <f>+IF(F39&gt;0,F39*H39,0)</f>
        <v>0</v>
      </c>
      <c r="J39" s="9"/>
      <c r="L39" s="36"/>
    </row>
    <row r="40" spans="2:12">
      <c r="B40" s="2"/>
      <c r="C40" s="2"/>
      <c r="D40" s="2"/>
      <c r="E40" s="131" t="s">
        <v>209</v>
      </c>
      <c r="F40" s="4">
        <f>+IF(I40&gt;0,1,0)</f>
        <v>0</v>
      </c>
      <c r="G40" s="105" t="s">
        <v>117</v>
      </c>
      <c r="H40" s="4"/>
      <c r="I40" s="106">
        <f>+SUM(I36,I38)</f>
        <v>0</v>
      </c>
      <c r="J40" s="8"/>
      <c r="L40" s="36"/>
    </row>
    <row r="41" spans="2:12">
      <c r="B41" s="1"/>
      <c r="C41" s="1"/>
      <c r="D41" s="1"/>
      <c r="E41" s="6"/>
      <c r="F41" s="5">
        <f>+IF(I41&gt;0,1,0)</f>
        <v>0</v>
      </c>
      <c r="G41" s="109"/>
      <c r="H41" s="5"/>
      <c r="I41" s="110">
        <f>+SUM(I37,I39)</f>
        <v>0</v>
      </c>
      <c r="J41" s="9"/>
      <c r="L41" s="36"/>
    </row>
    <row r="42" spans="2:12">
      <c r="B42" s="2"/>
      <c r="C42" s="2"/>
      <c r="D42" s="2"/>
      <c r="E42" s="2" t="s">
        <v>118</v>
      </c>
      <c r="F42" s="4">
        <f>+IF(I42&gt;0,1,0)</f>
        <v>0</v>
      </c>
      <c r="G42" s="105" t="s">
        <v>117</v>
      </c>
      <c r="H42" s="4"/>
      <c r="I42" s="106">
        <f>+SUM(I24,I30,I34,I40)</f>
        <v>0</v>
      </c>
      <c r="J42" s="8" t="s">
        <v>210</v>
      </c>
      <c r="L42" s="36"/>
    </row>
    <row r="43" spans="2:12">
      <c r="B43" s="1"/>
      <c r="C43" s="1"/>
      <c r="D43" s="1"/>
      <c r="E43" s="6"/>
      <c r="F43" s="5">
        <f>+IF(I43&gt;0,1,0)</f>
        <v>0</v>
      </c>
      <c r="G43" s="109"/>
      <c r="H43" s="5"/>
      <c r="I43" s="110">
        <f>+SUM(I25,I31,I35,I41)</f>
        <v>0</v>
      </c>
      <c r="J43" s="9"/>
      <c r="L43" s="36"/>
    </row>
    <row r="44" spans="2:12">
      <c r="B44" s="2"/>
      <c r="C44" s="2"/>
      <c r="D44" s="2" t="s">
        <v>121</v>
      </c>
      <c r="E44" s="2"/>
      <c r="F44" s="4"/>
      <c r="G44" s="105"/>
      <c r="H44" s="4"/>
      <c r="I44" s="4"/>
      <c r="J44" s="45"/>
    </row>
    <row r="45" spans="2:12">
      <c r="B45" s="1"/>
      <c r="C45" s="1"/>
      <c r="D45" s="1"/>
      <c r="E45" s="6"/>
      <c r="F45" s="5"/>
      <c r="G45" s="109"/>
      <c r="H45" s="5"/>
      <c r="I45" s="5"/>
      <c r="J45" s="9"/>
    </row>
    <row r="46" spans="2:12">
      <c r="B46" s="2"/>
      <c r="C46" s="2"/>
      <c r="D46" s="2"/>
      <c r="E46" s="2" t="s">
        <v>122</v>
      </c>
      <c r="F46" s="114">
        <f>+K118</f>
        <v>68.760000000000005</v>
      </c>
      <c r="G46" s="105" t="s">
        <v>123</v>
      </c>
      <c r="H46" s="4">
        <f>+D115</f>
        <v>0</v>
      </c>
      <c r="I46" s="106">
        <f>+IF(H46&gt;0,INT(H46*F46%/1000)*1000,0)</f>
        <v>0</v>
      </c>
      <c r="J46" s="45" t="s">
        <v>124</v>
      </c>
    </row>
    <row r="47" spans="2:12">
      <c r="B47" s="1"/>
      <c r="C47" s="1"/>
      <c r="D47" s="1"/>
      <c r="E47" s="6"/>
      <c r="F47" s="115">
        <f>+K119</f>
        <v>0</v>
      </c>
      <c r="G47" s="109"/>
      <c r="H47" s="5">
        <f>+D116</f>
        <v>0</v>
      </c>
      <c r="I47" s="110">
        <f>+IF(H47&gt;0,INT(H47*F47%/1000)*1000,0)</f>
        <v>0</v>
      </c>
      <c r="J47" s="9"/>
    </row>
    <row r="48" spans="2:12">
      <c r="B48" s="2"/>
      <c r="C48" s="2"/>
      <c r="D48" s="2"/>
      <c r="E48" s="2" t="s">
        <v>44</v>
      </c>
      <c r="F48" s="104">
        <v>1</v>
      </c>
      <c r="G48" s="105" t="s">
        <v>117</v>
      </c>
      <c r="H48" s="104">
        <f>'明細(機械)単独'!BK5</f>
        <v>0</v>
      </c>
      <c r="I48" s="106">
        <f t="shared" ref="I48:I51" si="4">+IF(F48&gt;0,F48*H48,0)</f>
        <v>0</v>
      </c>
      <c r="J48" s="45"/>
    </row>
    <row r="49" spans="2:10">
      <c r="B49" s="1"/>
      <c r="C49" s="1"/>
      <c r="D49" s="1"/>
      <c r="E49" s="6"/>
      <c r="F49" s="108"/>
      <c r="G49" s="109"/>
      <c r="H49" s="108"/>
      <c r="I49" s="110">
        <f t="shared" si="4"/>
        <v>0</v>
      </c>
      <c r="J49" s="9"/>
    </row>
    <row r="50" spans="2:10">
      <c r="B50" s="2"/>
      <c r="C50" s="2"/>
      <c r="D50" s="2"/>
      <c r="E50" s="2" t="s">
        <v>125</v>
      </c>
      <c r="F50" s="104"/>
      <c r="G50" s="105" t="s">
        <v>117</v>
      </c>
      <c r="H50" s="104"/>
      <c r="I50" s="106">
        <f t="shared" si="4"/>
        <v>0</v>
      </c>
      <c r="J50" s="45"/>
    </row>
    <row r="51" spans="2:10">
      <c r="B51" s="1"/>
      <c r="C51" s="1"/>
      <c r="D51" s="1"/>
      <c r="E51" s="6"/>
      <c r="F51" s="108"/>
      <c r="G51" s="109"/>
      <c r="H51" s="108"/>
      <c r="I51" s="110">
        <f t="shared" si="4"/>
        <v>0</v>
      </c>
      <c r="J51" s="9"/>
    </row>
    <row r="52" spans="2:10">
      <c r="B52" s="2"/>
      <c r="C52" s="2"/>
      <c r="D52" s="2"/>
      <c r="E52" s="2" t="s">
        <v>126</v>
      </c>
      <c r="F52" s="4"/>
      <c r="G52" s="105"/>
      <c r="H52" s="4"/>
      <c r="I52" s="4">
        <f>+SUM(I46,I48,I50)</f>
        <v>0</v>
      </c>
      <c r="J52" s="45"/>
    </row>
    <row r="53" spans="2:10">
      <c r="B53" s="1"/>
      <c r="C53" s="1"/>
      <c r="D53" s="1"/>
      <c r="E53" s="6"/>
      <c r="F53" s="5"/>
      <c r="G53" s="109"/>
      <c r="H53" s="5"/>
      <c r="I53" s="5">
        <f>+SUM(I47,I49,I51)</f>
        <v>0</v>
      </c>
      <c r="J53" s="9"/>
    </row>
    <row r="54" spans="2:10">
      <c r="B54" s="2"/>
      <c r="C54" s="2"/>
      <c r="D54" s="2"/>
      <c r="E54" s="2" t="s">
        <v>127</v>
      </c>
      <c r="F54" s="114">
        <f>+K135</f>
        <v>57.93</v>
      </c>
      <c r="G54" s="105" t="s">
        <v>123</v>
      </c>
      <c r="H54" s="4">
        <f>+D132</f>
        <v>0</v>
      </c>
      <c r="I54" s="106">
        <f>+IF(H54&gt;0,INT(H54*F54%/1000)*1000,0)</f>
        <v>0</v>
      </c>
      <c r="J54" s="45" t="s">
        <v>124</v>
      </c>
    </row>
    <row r="55" spans="2:10">
      <c r="B55" s="1"/>
      <c r="C55" s="1"/>
      <c r="D55" s="1"/>
      <c r="E55" s="6"/>
      <c r="F55" s="115">
        <f>+K136</f>
        <v>0</v>
      </c>
      <c r="G55" s="109"/>
      <c r="H55" s="5">
        <f>+D133</f>
        <v>0</v>
      </c>
      <c r="I55" s="110">
        <f>+IF(H55&gt;0,INT(H55*F55%/1000)*1000,0)</f>
        <v>0</v>
      </c>
      <c r="J55" s="9"/>
    </row>
    <row r="56" spans="2:10">
      <c r="B56" s="2"/>
      <c r="C56" s="2"/>
      <c r="D56" s="2"/>
      <c r="E56" s="2" t="s">
        <v>129</v>
      </c>
      <c r="F56" s="4"/>
      <c r="G56" s="105"/>
      <c r="H56" s="4"/>
      <c r="I56" s="4">
        <f>+I54</f>
        <v>0</v>
      </c>
      <c r="J56" s="45"/>
    </row>
    <row r="57" spans="2:10">
      <c r="B57" s="1"/>
      <c r="C57" s="1"/>
      <c r="D57" s="1"/>
      <c r="E57" s="6"/>
      <c r="F57" s="5"/>
      <c r="G57" s="109"/>
      <c r="H57" s="5"/>
      <c r="I57" s="5">
        <f>+I55</f>
        <v>0</v>
      </c>
      <c r="J57" s="9"/>
    </row>
    <row r="58" spans="2:10">
      <c r="B58" s="2"/>
      <c r="C58" s="2"/>
      <c r="D58" s="2"/>
      <c r="E58" s="2" t="s">
        <v>130</v>
      </c>
      <c r="F58" s="4">
        <f>+IF(H58&gt;0,90,0)</f>
        <v>0</v>
      </c>
      <c r="G58" s="105" t="s">
        <v>123</v>
      </c>
      <c r="H58" s="104">
        <f>I28</f>
        <v>0</v>
      </c>
      <c r="I58" s="106">
        <f>+IF(H58&gt;0,INT(H58*F58%),0)</f>
        <v>0</v>
      </c>
      <c r="J58" s="45" t="s">
        <v>131</v>
      </c>
    </row>
    <row r="59" spans="2:10">
      <c r="B59" s="1"/>
      <c r="C59" s="1"/>
      <c r="D59" s="1"/>
      <c r="E59" s="6"/>
      <c r="F59" s="5">
        <f>+IF(H59&gt;0,90,0)</f>
        <v>0</v>
      </c>
      <c r="G59" s="109"/>
      <c r="H59" s="108"/>
      <c r="I59" s="110">
        <f>+IF(H59&gt;0,INT(H59*F59%),0)</f>
        <v>0</v>
      </c>
      <c r="J59" s="116" t="s">
        <v>937</v>
      </c>
    </row>
    <row r="60" spans="2:10">
      <c r="B60" s="2"/>
      <c r="C60" s="2"/>
      <c r="D60" s="2"/>
      <c r="E60" s="2" t="s">
        <v>132</v>
      </c>
      <c r="F60" s="4"/>
      <c r="G60" s="105"/>
      <c r="H60" s="4"/>
      <c r="I60" s="4">
        <f>+I58</f>
        <v>0</v>
      </c>
      <c r="J60" s="45"/>
    </row>
    <row r="61" spans="2:10">
      <c r="B61" s="1"/>
      <c r="C61" s="1"/>
      <c r="D61" s="1"/>
      <c r="E61" s="6"/>
      <c r="F61" s="5"/>
      <c r="G61" s="109"/>
      <c r="H61" s="5"/>
      <c r="I61" s="5">
        <f>+I59</f>
        <v>0</v>
      </c>
      <c r="J61" s="9"/>
    </row>
    <row r="62" spans="2:10">
      <c r="B62" s="2"/>
      <c r="C62" s="2"/>
      <c r="D62" s="2"/>
      <c r="E62" s="2" t="s">
        <v>118</v>
      </c>
      <c r="F62" s="4"/>
      <c r="G62" s="105"/>
      <c r="H62" s="4"/>
      <c r="I62" s="4">
        <f>+SUM(I52,I56,I60)</f>
        <v>0</v>
      </c>
      <c r="J62" s="45" t="s">
        <v>133</v>
      </c>
    </row>
    <row r="63" spans="2:10">
      <c r="B63" s="1"/>
      <c r="C63" s="1"/>
      <c r="D63" s="1"/>
      <c r="E63" s="6"/>
      <c r="F63" s="5"/>
      <c r="G63" s="109"/>
      <c r="H63" s="5"/>
      <c r="I63" s="5">
        <f>+SUM(I53,I57,I61)</f>
        <v>0</v>
      </c>
      <c r="J63" s="9"/>
    </row>
    <row r="64" spans="2:10">
      <c r="B64" s="2"/>
      <c r="C64" s="2"/>
      <c r="D64" s="2" t="s">
        <v>134</v>
      </c>
      <c r="E64" s="2"/>
      <c r="F64" s="4"/>
      <c r="G64" s="105"/>
      <c r="H64" s="4"/>
      <c r="I64" s="106">
        <f>+I42+I62</f>
        <v>0</v>
      </c>
      <c r="J64" s="45" t="s">
        <v>135</v>
      </c>
    </row>
    <row r="65" spans="2:12">
      <c r="B65" s="1"/>
      <c r="C65" s="1"/>
      <c r="D65" s="1"/>
      <c r="E65" s="6"/>
      <c r="F65" s="5"/>
      <c r="G65" s="109"/>
      <c r="H65" s="5"/>
      <c r="I65" s="110">
        <f>+I25+I63</f>
        <v>0</v>
      </c>
      <c r="J65" s="116"/>
    </row>
    <row r="66" spans="2:12">
      <c r="B66" s="2"/>
      <c r="C66" s="2"/>
      <c r="D66" s="2" t="s">
        <v>136</v>
      </c>
      <c r="E66" s="2"/>
      <c r="F66" s="4"/>
      <c r="G66" s="105"/>
      <c r="H66" s="4"/>
      <c r="I66" s="4"/>
      <c r="J66" s="45"/>
    </row>
    <row r="67" spans="2:12">
      <c r="B67" s="1"/>
      <c r="C67" s="1"/>
      <c r="D67" s="1"/>
      <c r="E67" s="6"/>
      <c r="F67" s="5"/>
      <c r="G67" s="109"/>
      <c r="H67" s="5"/>
      <c r="I67" s="5"/>
      <c r="J67" s="9"/>
    </row>
    <row r="68" spans="2:12">
      <c r="B68" s="2"/>
      <c r="C68" s="2"/>
      <c r="D68" s="2"/>
      <c r="E68" s="2" t="s">
        <v>136</v>
      </c>
      <c r="F68" s="114">
        <f>+K152</f>
        <v>7.11</v>
      </c>
      <c r="G68" s="105" t="s">
        <v>123</v>
      </c>
      <c r="H68" s="4">
        <f>+D149</f>
        <v>0</v>
      </c>
      <c r="I68" s="106">
        <f>+IF(H68&gt;0,INT(H68*F68%/1000)*1000,0)</f>
        <v>0</v>
      </c>
      <c r="J68" s="45" t="s">
        <v>124</v>
      </c>
    </row>
    <row r="69" spans="2:12">
      <c r="B69" s="1"/>
      <c r="C69" s="1"/>
      <c r="D69" s="1"/>
      <c r="E69" s="6"/>
      <c r="F69" s="115">
        <f>+K153</f>
        <v>0</v>
      </c>
      <c r="G69" s="109"/>
      <c r="H69" s="5">
        <f>+D150</f>
        <v>0</v>
      </c>
      <c r="I69" s="110">
        <f>+IF(H69&gt;0,INT(H69*F69%/1000)*1000,0)</f>
        <v>0</v>
      </c>
      <c r="J69" s="9"/>
    </row>
    <row r="70" spans="2:12">
      <c r="B70" s="2"/>
      <c r="C70" s="2"/>
      <c r="D70" s="2"/>
      <c r="E70" s="2" t="s">
        <v>118</v>
      </c>
      <c r="F70" s="4"/>
      <c r="G70" s="105"/>
      <c r="H70" s="4"/>
      <c r="I70" s="4">
        <f>+I68</f>
        <v>0</v>
      </c>
      <c r="J70" s="45" t="s">
        <v>137</v>
      </c>
    </row>
    <row r="71" spans="2:12">
      <c r="B71" s="1"/>
      <c r="C71" s="1"/>
      <c r="D71" s="1"/>
      <c r="E71" s="6"/>
      <c r="F71" s="5"/>
      <c r="G71" s="109"/>
      <c r="H71" s="5"/>
      <c r="I71" s="5">
        <f>+I69</f>
        <v>0</v>
      </c>
      <c r="J71" s="9"/>
    </row>
    <row r="72" spans="2:12">
      <c r="B72" s="2"/>
      <c r="C72" s="2"/>
      <c r="D72" s="2" t="s">
        <v>138</v>
      </c>
      <c r="E72" s="2"/>
      <c r="F72" s="4"/>
      <c r="G72" s="105"/>
      <c r="H72" s="4"/>
      <c r="I72" s="106">
        <f>+I14+I64+I70</f>
        <v>0</v>
      </c>
      <c r="J72" s="45" t="s">
        <v>139</v>
      </c>
    </row>
    <row r="73" spans="2:12">
      <c r="B73" s="1"/>
      <c r="C73" s="1"/>
      <c r="D73" s="1"/>
      <c r="E73" s="6"/>
      <c r="F73" s="5"/>
      <c r="G73" s="109"/>
      <c r="H73" s="5"/>
      <c r="I73" s="110">
        <f>+I15+I65+I71</f>
        <v>0</v>
      </c>
      <c r="J73" s="9"/>
    </row>
    <row r="74" spans="2:12">
      <c r="B74" s="2"/>
      <c r="C74" s="2"/>
      <c r="D74" s="2" t="s">
        <v>140</v>
      </c>
      <c r="E74" s="2"/>
      <c r="F74" s="4"/>
      <c r="G74" s="105"/>
      <c r="H74" s="4"/>
      <c r="I74" s="4"/>
      <c r="J74" s="8"/>
    </row>
    <row r="75" spans="2:12">
      <c r="B75" s="1"/>
      <c r="C75" s="1"/>
      <c r="D75" s="1"/>
      <c r="E75" s="6"/>
      <c r="F75" s="5"/>
      <c r="G75" s="109"/>
      <c r="H75" s="5"/>
      <c r="I75" s="5"/>
      <c r="J75" s="9"/>
    </row>
    <row r="76" spans="2:12">
      <c r="B76" s="2"/>
      <c r="C76" s="2"/>
      <c r="D76" s="2"/>
      <c r="E76" s="2" t="s">
        <v>141</v>
      </c>
      <c r="F76" s="114" t="e">
        <f>+L198</f>
        <v>#DIV/0!</v>
      </c>
      <c r="G76" s="105" t="s">
        <v>123</v>
      </c>
      <c r="H76" s="4">
        <f>+I72</f>
        <v>0</v>
      </c>
      <c r="I76" s="4" t="e">
        <f>+L76-L82</f>
        <v>#DIV/0!</v>
      </c>
      <c r="J76" s="7" t="e">
        <f>+"（"&amp;FIXED(L76,0)&amp;"）"</f>
        <v>#DIV/0!</v>
      </c>
      <c r="L76" s="117" t="e">
        <f>+ROUND(H76*F76%,0)</f>
        <v>#DIV/0!</v>
      </c>
    </row>
    <row r="77" spans="2:12">
      <c r="B77" s="1"/>
      <c r="C77" s="1"/>
      <c r="D77" s="1"/>
      <c r="E77" s="6"/>
      <c r="F77" s="115">
        <f>+L199</f>
        <v>0</v>
      </c>
      <c r="G77" s="109"/>
      <c r="H77" s="5">
        <f>+I73</f>
        <v>0</v>
      </c>
      <c r="I77" s="5">
        <f>+L77-L83</f>
        <v>0</v>
      </c>
      <c r="J77" s="118" t="str">
        <f>+IF(H77&gt;0,"（"&amp;FIXED(L77,0)&amp;"）","")</f>
        <v/>
      </c>
      <c r="L77" s="117">
        <f>+ROUND(H77*F77%,0)</f>
        <v>0</v>
      </c>
    </row>
    <row r="78" spans="2:12">
      <c r="B78" s="2"/>
      <c r="C78" s="2"/>
      <c r="D78" s="2"/>
      <c r="E78" s="2" t="s">
        <v>142</v>
      </c>
      <c r="F78" s="114">
        <f>+IF(H78&gt;0,0.04,0)</f>
        <v>0</v>
      </c>
      <c r="G78" s="105" t="s">
        <v>123</v>
      </c>
      <c r="H78" s="4">
        <f>+I72</f>
        <v>0</v>
      </c>
      <c r="I78" s="4">
        <f>+INT(H78*F78%)</f>
        <v>0</v>
      </c>
      <c r="J78" s="8" t="s">
        <v>143</v>
      </c>
    </row>
    <row r="79" spans="2:12">
      <c r="B79" s="1"/>
      <c r="C79" s="1"/>
      <c r="D79" s="1"/>
      <c r="E79" s="6"/>
      <c r="F79" s="115">
        <f>+IF(H79&gt;0,0.04,0)</f>
        <v>0</v>
      </c>
      <c r="G79" s="109"/>
      <c r="H79" s="5">
        <f>+I73</f>
        <v>0</v>
      </c>
      <c r="I79" s="5">
        <f>+IF(H79&gt;0,I78,0)</f>
        <v>0</v>
      </c>
      <c r="J79" s="9"/>
    </row>
    <row r="80" spans="2:12">
      <c r="B80" s="2"/>
      <c r="C80" s="2"/>
      <c r="D80" s="2"/>
      <c r="E80" s="2" t="s">
        <v>11</v>
      </c>
      <c r="F80" s="4">
        <v>1</v>
      </c>
      <c r="G80" s="105" t="s">
        <v>117</v>
      </c>
      <c r="H80" s="4"/>
      <c r="I80" s="4" t="e">
        <f>+I76+I78</f>
        <v>#DIV/0!</v>
      </c>
      <c r="J80" s="8" t="s">
        <v>144</v>
      </c>
      <c r="L80" s="117" t="e">
        <f>+I72+L76+I78</f>
        <v>#DIV/0!</v>
      </c>
    </row>
    <row r="81" spans="2:12">
      <c r="B81" s="1"/>
      <c r="C81" s="1"/>
      <c r="D81" s="1"/>
      <c r="E81" s="6"/>
      <c r="F81" s="5"/>
      <c r="G81" s="109"/>
      <c r="H81" s="5"/>
      <c r="I81" s="5">
        <f>+I77+I79</f>
        <v>0</v>
      </c>
      <c r="J81" s="9"/>
      <c r="L81" s="117">
        <f>+I73+L77+I79</f>
        <v>0</v>
      </c>
    </row>
    <row r="82" spans="2:12">
      <c r="B82" s="2"/>
      <c r="C82" s="2" t="s">
        <v>145</v>
      </c>
      <c r="D82" s="2"/>
      <c r="E82" s="2"/>
      <c r="F82" s="4"/>
      <c r="G82" s="105"/>
      <c r="H82" s="4"/>
      <c r="I82" s="106" t="e">
        <f>+INT(L80/10000)*10000</f>
        <v>#DIV/0!</v>
      </c>
      <c r="J82" s="45" t="s">
        <v>146</v>
      </c>
      <c r="L82" s="117" t="e">
        <f>+L80-I82</f>
        <v>#DIV/0!</v>
      </c>
    </row>
    <row r="83" spans="2:12">
      <c r="B83" s="1"/>
      <c r="C83" s="1"/>
      <c r="D83" s="1"/>
      <c r="E83" s="6"/>
      <c r="F83" s="5"/>
      <c r="G83" s="109"/>
      <c r="H83" s="5"/>
      <c r="I83" s="110">
        <f>+INT(L81/1000)*1000</f>
        <v>0</v>
      </c>
      <c r="J83" s="9"/>
      <c r="L83" s="117">
        <f>+L81-I83</f>
        <v>0</v>
      </c>
    </row>
    <row r="84" spans="2:12">
      <c r="B84" s="2"/>
      <c r="C84" s="2"/>
      <c r="D84" s="2"/>
      <c r="E84" s="2"/>
      <c r="F84" s="4"/>
      <c r="G84" s="105"/>
      <c r="H84" s="4"/>
      <c r="I84" s="4"/>
      <c r="J84" s="45"/>
    </row>
    <row r="85" spans="2:12">
      <c r="B85" s="1"/>
      <c r="C85" s="1"/>
      <c r="D85" s="1"/>
      <c r="E85" s="6"/>
      <c r="F85" s="5"/>
      <c r="G85" s="109"/>
      <c r="H85" s="5"/>
      <c r="I85" s="5"/>
      <c r="J85" s="9"/>
    </row>
    <row r="86" spans="2:12">
      <c r="B86" s="2"/>
      <c r="C86" s="2"/>
      <c r="D86" s="2"/>
      <c r="E86" s="2"/>
      <c r="F86" s="4"/>
      <c r="G86" s="105"/>
      <c r="H86" s="4"/>
      <c r="I86" s="4"/>
      <c r="J86" s="45"/>
    </row>
    <row r="87" spans="2:12">
      <c r="B87" s="1"/>
      <c r="C87" s="1"/>
      <c r="D87" s="1"/>
      <c r="E87" s="6"/>
      <c r="F87" s="5"/>
      <c r="G87" s="109"/>
      <c r="H87" s="5"/>
      <c r="I87" s="5"/>
      <c r="J87" s="9"/>
    </row>
    <row r="88" spans="2:12">
      <c r="B88" s="2"/>
      <c r="C88" s="2"/>
      <c r="D88" s="2"/>
      <c r="E88" s="2"/>
      <c r="F88" s="4"/>
      <c r="G88" s="105"/>
      <c r="H88" s="4"/>
      <c r="I88" s="4"/>
      <c r="J88" s="45"/>
    </row>
    <row r="89" spans="2:12">
      <c r="B89" s="1"/>
      <c r="C89" s="1"/>
      <c r="D89" s="1"/>
      <c r="E89" s="6"/>
      <c r="F89" s="5"/>
      <c r="G89" s="109"/>
      <c r="H89" s="5"/>
      <c r="I89" s="5"/>
      <c r="J89" s="9"/>
    </row>
    <row r="90" spans="2:12">
      <c r="B90" s="2"/>
      <c r="C90" s="2"/>
      <c r="D90" s="2"/>
      <c r="E90" s="2"/>
      <c r="F90" s="4"/>
      <c r="G90" s="105"/>
      <c r="H90" s="4"/>
      <c r="I90" s="4"/>
      <c r="J90" s="45"/>
    </row>
    <row r="91" spans="2:12">
      <c r="B91" s="1"/>
      <c r="C91" s="1"/>
      <c r="D91" s="1"/>
      <c r="E91" s="6"/>
      <c r="F91" s="5"/>
      <c r="G91" s="109"/>
      <c r="H91" s="5"/>
      <c r="I91" s="5"/>
      <c r="J91" s="9"/>
    </row>
    <row r="92" spans="2:12">
      <c r="B92" s="2"/>
      <c r="C92" s="2"/>
      <c r="D92" s="2"/>
      <c r="E92" s="2"/>
      <c r="F92" s="4"/>
      <c r="G92" s="105"/>
      <c r="H92" s="4"/>
      <c r="I92" s="4"/>
      <c r="J92" s="45"/>
    </row>
    <row r="93" spans="2:12">
      <c r="B93" s="1"/>
      <c r="C93" s="1"/>
      <c r="D93" s="1"/>
      <c r="E93" s="6"/>
      <c r="F93" s="5"/>
      <c r="G93" s="109"/>
      <c r="H93" s="5"/>
      <c r="I93" s="5"/>
      <c r="J93" s="9"/>
    </row>
    <row r="94" spans="2:12">
      <c r="B94" s="2"/>
      <c r="C94" s="2"/>
      <c r="D94" s="2"/>
      <c r="E94" s="2"/>
      <c r="F94" s="4"/>
      <c r="G94" s="105"/>
      <c r="H94" s="4"/>
      <c r="I94" s="4"/>
      <c r="J94" s="45"/>
    </row>
    <row r="95" spans="2:12">
      <c r="B95" s="1"/>
      <c r="C95" s="1"/>
      <c r="D95" s="1"/>
      <c r="E95" s="6"/>
      <c r="F95" s="5"/>
      <c r="G95" s="109"/>
      <c r="H95" s="5"/>
      <c r="I95" s="5"/>
      <c r="J95" s="9"/>
    </row>
    <row r="96" spans="2:12">
      <c r="B96" s="2"/>
      <c r="C96" s="2"/>
      <c r="D96" s="2"/>
      <c r="E96" s="2"/>
      <c r="F96" s="4"/>
      <c r="G96" s="105"/>
      <c r="H96" s="4"/>
      <c r="I96" s="4"/>
      <c r="J96" s="45"/>
    </row>
    <row r="97" spans="2:10">
      <c r="B97" s="1"/>
      <c r="C97" s="1"/>
      <c r="D97" s="1"/>
      <c r="E97" s="6"/>
      <c r="F97" s="5"/>
      <c r="G97" s="109"/>
      <c r="H97" s="5"/>
      <c r="I97" s="5"/>
      <c r="J97" s="9"/>
    </row>
    <row r="98" spans="2:10">
      <c r="B98" s="2"/>
      <c r="C98" s="2"/>
      <c r="D98" s="2"/>
      <c r="E98" s="2"/>
      <c r="F98" s="4"/>
      <c r="G98" s="105"/>
      <c r="H98" s="4"/>
      <c r="I98" s="4"/>
      <c r="J98" s="45"/>
    </row>
    <row r="99" spans="2:10">
      <c r="B99" s="1"/>
      <c r="C99" s="1"/>
      <c r="D99" s="1"/>
      <c r="E99" s="6"/>
      <c r="F99" s="5"/>
      <c r="G99" s="109"/>
      <c r="H99" s="5"/>
      <c r="I99" s="5"/>
      <c r="J99" s="9"/>
    </row>
    <row r="100" spans="2:10">
      <c r="B100" s="2"/>
      <c r="C100" s="2"/>
      <c r="D100" s="2"/>
      <c r="E100" s="2"/>
      <c r="F100" s="4"/>
      <c r="G100" s="105"/>
      <c r="H100" s="4"/>
      <c r="I100" s="4"/>
      <c r="J100" s="45"/>
    </row>
    <row r="101" spans="2:10">
      <c r="B101" s="1"/>
      <c r="C101" s="1"/>
      <c r="D101" s="1"/>
      <c r="E101" s="6"/>
      <c r="F101" s="5"/>
      <c r="G101" s="109"/>
      <c r="H101" s="5"/>
      <c r="I101" s="5"/>
      <c r="J101" s="9"/>
    </row>
    <row r="102" spans="2:10">
      <c r="B102" s="2"/>
      <c r="C102" s="2"/>
      <c r="D102" s="2"/>
      <c r="E102" s="2"/>
      <c r="F102" s="4"/>
      <c r="G102" s="105"/>
      <c r="H102" s="4"/>
      <c r="I102" s="4"/>
      <c r="J102" s="45"/>
    </row>
    <row r="103" spans="2:10">
      <c r="B103" s="1"/>
      <c r="C103" s="1"/>
      <c r="D103" s="1"/>
      <c r="E103" s="6"/>
      <c r="F103" s="5"/>
      <c r="G103" s="109"/>
      <c r="H103" s="5"/>
      <c r="I103" s="5"/>
      <c r="J103" s="9"/>
    </row>
    <row r="104" spans="2:10">
      <c r="B104" s="16"/>
      <c r="C104" s="17"/>
      <c r="D104" s="17"/>
      <c r="E104" s="17"/>
      <c r="F104" s="17"/>
      <c r="G104" s="17"/>
      <c r="H104" s="17"/>
      <c r="I104" s="17"/>
      <c r="J104" s="18"/>
    </row>
    <row r="105" spans="2:10">
      <c r="B105" s="119" t="s">
        <v>147</v>
      </c>
      <c r="J105" s="120" t="s">
        <v>926</v>
      </c>
    </row>
    <row r="106" spans="2:10">
      <c r="B106" s="119"/>
      <c r="J106" s="121"/>
    </row>
    <row r="107" spans="2:10">
      <c r="B107" s="119" t="s">
        <v>148</v>
      </c>
      <c r="J107" s="121"/>
    </row>
    <row r="108" spans="2:10">
      <c r="B108" s="119"/>
      <c r="C108" t="s">
        <v>149</v>
      </c>
      <c r="J108" s="121"/>
    </row>
    <row r="109" spans="2:10">
      <c r="B109" s="119"/>
      <c r="C109" t="s">
        <v>150</v>
      </c>
      <c r="J109" s="121"/>
    </row>
    <row r="110" spans="2:10">
      <c r="B110" s="119"/>
      <c r="C110" t="s">
        <v>151</v>
      </c>
      <c r="J110" s="121"/>
    </row>
    <row r="111" spans="2:10">
      <c r="B111" s="119"/>
      <c r="C111" t="s">
        <v>152</v>
      </c>
      <c r="J111" s="121"/>
    </row>
    <row r="112" spans="2:10">
      <c r="B112" s="119"/>
      <c r="D112" t="s">
        <v>153</v>
      </c>
      <c r="F112">
        <v>68.760000000000005</v>
      </c>
      <c r="G112" t="s">
        <v>154</v>
      </c>
      <c r="J112" s="121"/>
    </row>
    <row r="113" spans="2:15">
      <c r="B113" s="119"/>
      <c r="D113" t="s">
        <v>155</v>
      </c>
      <c r="F113">
        <v>12.86</v>
      </c>
      <c r="G113" t="s">
        <v>154</v>
      </c>
      <c r="J113" s="121"/>
    </row>
    <row r="114" spans="2:15">
      <c r="B114" s="119"/>
      <c r="J114" s="121"/>
    </row>
    <row r="115" spans="2:15">
      <c r="B115" s="119"/>
      <c r="C115" s="82" t="s">
        <v>156</v>
      </c>
      <c r="D115" s="36">
        <f>+I42</f>
        <v>0</v>
      </c>
      <c r="E115" t="s">
        <v>157</v>
      </c>
      <c r="J115" s="121"/>
    </row>
    <row r="116" spans="2:15">
      <c r="B116" s="119"/>
      <c r="D116" s="36">
        <f>+I25</f>
        <v>0</v>
      </c>
      <c r="J116" s="121"/>
    </row>
    <row r="117" spans="2:15">
      <c r="B117" s="119"/>
      <c r="J117" s="121"/>
      <c r="L117" s="50" t="s">
        <v>158</v>
      </c>
      <c r="M117" s="50" t="s">
        <v>159</v>
      </c>
      <c r="N117" s="50" t="s">
        <v>160</v>
      </c>
    </row>
    <row r="118" spans="2:15">
      <c r="B118" s="119"/>
      <c r="C118" s="82" t="s">
        <v>161</v>
      </c>
      <c r="D118" t="str">
        <f>+IF(O118=1,FIXED(K118,2)&amp;" %",IF(O118=2,"2,858.52×"&amp;FIXED(D115,0)&amp;" ^-0.2698　＝　"&amp;FIXED(K118,2)&amp;" %",IF(O118=3,FIXED(K118,2),0)))</f>
        <v>68.76 %</v>
      </c>
      <c r="J118" s="121"/>
      <c r="K118">
        <f>+SUM(L118:N118)</f>
        <v>68.760000000000005</v>
      </c>
      <c r="L118">
        <f>+IF(D115&lt;=1000000,F112,0)</f>
        <v>68.760000000000005</v>
      </c>
      <c r="M118">
        <f>+IF(AND(D115&gt;=1000000,D115&lt;500000000),ROUND(2858.52*D115^-0.2698,2),0)</f>
        <v>0</v>
      </c>
      <c r="N118">
        <f>+IF(D115&gt;500000000,F113,0)</f>
        <v>0</v>
      </c>
      <c r="O118">
        <f>+IF(L118&gt;0,1,IF(M118&gt;0,2,IF(N118&gt;0,3,0)))</f>
        <v>1</v>
      </c>
    </row>
    <row r="119" spans="2:15">
      <c r="B119" s="119"/>
      <c r="D119">
        <f>+IF(O119=1,FIXED(K119,2)&amp;" %",IF(O119=2,"2,858.52×"&amp;FIXED(D116,0)&amp;" ^-0.2698　＝　"&amp;FIXED(K119,2)&amp;" %",IF(O119=3,FIXED(K119,2),0)))</f>
        <v>0</v>
      </c>
      <c r="J119" s="121"/>
      <c r="K119">
        <f>+SUM(L119:N119)</f>
        <v>0</v>
      </c>
      <c r="L119">
        <f>+IF(D116&gt;0,IF(D116&lt;=1000000,F112,0),0)</f>
        <v>0</v>
      </c>
      <c r="M119">
        <f>+IF(AND(D116&gt;=1000000,D116&lt;500000000),ROUND(2858.52*D116^-0.2698,2),0)</f>
        <v>0</v>
      </c>
      <c r="N119">
        <f>+IF(D116&gt;0,IF(D116&gt;500000000,F113,0),0)</f>
        <v>0</v>
      </c>
      <c r="O119">
        <f>+IF(L119&gt;0,1,IF(M119&gt;0,2,IF(N119&gt;0,3,0)))</f>
        <v>0</v>
      </c>
    </row>
    <row r="120" spans="2:15">
      <c r="B120" s="119"/>
      <c r="J120" s="121"/>
    </row>
    <row r="121" spans="2:15">
      <c r="B121" s="119"/>
      <c r="J121" s="121"/>
    </row>
    <row r="122" spans="2:15">
      <c r="B122" s="119" t="s">
        <v>162</v>
      </c>
      <c r="J122" s="120" t="s">
        <v>927</v>
      </c>
    </row>
    <row r="123" spans="2:15">
      <c r="B123" s="119"/>
      <c r="J123" s="121"/>
    </row>
    <row r="124" spans="2:15">
      <c r="B124" s="119" t="s">
        <v>163</v>
      </c>
      <c r="J124" s="121"/>
    </row>
    <row r="125" spans="2:15">
      <c r="B125" s="119"/>
      <c r="C125" t="s">
        <v>944</v>
      </c>
      <c r="J125" s="121"/>
    </row>
    <row r="126" spans="2:15">
      <c r="B126" s="119"/>
      <c r="C126" t="s">
        <v>164</v>
      </c>
      <c r="J126" s="121"/>
    </row>
    <row r="127" spans="2:15">
      <c r="B127" s="119"/>
      <c r="C127" t="s">
        <v>165</v>
      </c>
      <c r="J127" s="121"/>
    </row>
    <row r="128" spans="2:15">
      <c r="B128" s="119"/>
      <c r="C128" t="s">
        <v>152</v>
      </c>
      <c r="J128" s="121"/>
    </row>
    <row r="129" spans="2:15">
      <c r="B129" s="119"/>
      <c r="D129" t="s">
        <v>153</v>
      </c>
      <c r="F129">
        <v>57.93</v>
      </c>
      <c r="G129" t="s">
        <v>154</v>
      </c>
      <c r="J129" s="121"/>
    </row>
    <row r="130" spans="2:15">
      <c r="B130" s="119"/>
      <c r="D130" t="s">
        <v>155</v>
      </c>
      <c r="F130">
        <v>23.59</v>
      </c>
      <c r="G130" t="s">
        <v>154</v>
      </c>
      <c r="J130" s="121"/>
    </row>
    <row r="131" spans="2:15">
      <c r="B131" s="119"/>
      <c r="J131" s="121"/>
    </row>
    <row r="132" spans="2:15">
      <c r="B132" s="119"/>
      <c r="C132" s="82" t="s">
        <v>156</v>
      </c>
      <c r="D132" s="36">
        <f>+I42+I52</f>
        <v>0</v>
      </c>
      <c r="E132" t="s">
        <v>157</v>
      </c>
      <c r="J132" s="121"/>
    </row>
    <row r="133" spans="2:15">
      <c r="B133" s="119"/>
      <c r="D133" s="36">
        <f>+I25+I53</f>
        <v>0</v>
      </c>
      <c r="J133" s="121"/>
    </row>
    <row r="134" spans="2:15">
      <c r="B134" s="119"/>
      <c r="J134" s="121"/>
      <c r="L134" s="50" t="s">
        <v>158</v>
      </c>
      <c r="M134" s="50" t="s">
        <v>159</v>
      </c>
      <c r="N134" s="50" t="s">
        <v>160</v>
      </c>
    </row>
    <row r="135" spans="2:15">
      <c r="B135" s="119"/>
      <c r="C135" s="82" t="s">
        <v>161</v>
      </c>
      <c r="D135" t="str">
        <f>+IF(O135=1,FIXED(K135,2)&amp;" %",IF(O135=2,"426.49×"&amp;FIXED(D132,0)&amp;" ^-0.1445　＝　"&amp;FIXED(K135,2)&amp;" %",IF(O135=3,FIXED(K135,2),0)))</f>
        <v>57.93 %</v>
      </c>
      <c r="J135" s="121"/>
      <c r="K135">
        <f>+SUM(L135:N135)</f>
        <v>57.93</v>
      </c>
      <c r="L135">
        <f>+IF(D132&lt;=1000000,F129,0)</f>
        <v>57.93</v>
      </c>
      <c r="M135">
        <f>+IF(AND(D132&gt;=1000000,D132&lt;500000000),ROUND(425.39*D132^-0.1445,2),0)</f>
        <v>0</v>
      </c>
      <c r="N135">
        <f>+IF(D132&gt;500000000,F130,0)</f>
        <v>0</v>
      </c>
      <c r="O135">
        <f>+IF(L135&gt;0,1,IF(M135&gt;0,2,IF(N135&gt;0,3,0)))</f>
        <v>1</v>
      </c>
    </row>
    <row r="136" spans="2:15">
      <c r="B136" s="119"/>
      <c r="D136">
        <f>+IF(O136=1,FIXED(K136,2)&amp;" %",IF(O136=2,"425.39×"&amp;FIXED(D133,0)&amp;" ^-0.1445　＝　"&amp;FIXED(K136,2)&amp;" %",IF(O136=3,FIXED(K136,2),0)))</f>
        <v>0</v>
      </c>
      <c r="J136" s="121"/>
      <c r="K136">
        <f>+SUM(L136:N136)</f>
        <v>0</v>
      </c>
      <c r="L136">
        <f>+IF(D133&gt;0,IF(D133&lt;=1000000,F129,0),0)</f>
        <v>0</v>
      </c>
      <c r="M136">
        <f>+IF(AND(D133&gt;=1000000,D133&lt;500000000),ROUND(425.39*D133^-0.1445,2),0)</f>
        <v>0</v>
      </c>
      <c r="N136">
        <f>+IF(D133&gt;0,IF(D133&gt;500000000,F130,0),0)</f>
        <v>0</v>
      </c>
      <c r="O136">
        <f>+IF(L136&gt;0,1,IF(M136&gt;0,2,IF(N136&gt;0,3,0)))</f>
        <v>0</v>
      </c>
    </row>
    <row r="137" spans="2:15">
      <c r="B137" s="119"/>
      <c r="J137" s="121"/>
    </row>
    <row r="138" spans="2:15">
      <c r="B138" s="119"/>
      <c r="J138" s="121"/>
    </row>
    <row r="139" spans="2:15">
      <c r="B139" s="119" t="s">
        <v>166</v>
      </c>
      <c r="J139" s="120" t="s">
        <v>929</v>
      </c>
    </row>
    <row r="140" spans="2:15">
      <c r="B140" s="119"/>
      <c r="J140" s="121"/>
    </row>
    <row r="141" spans="2:15">
      <c r="B141" s="119" t="s">
        <v>167</v>
      </c>
      <c r="J141" s="121"/>
    </row>
    <row r="142" spans="2:15">
      <c r="B142" s="119"/>
      <c r="C142" t="s">
        <v>168</v>
      </c>
      <c r="J142" s="121"/>
    </row>
    <row r="143" spans="2:15">
      <c r="B143" s="119"/>
      <c r="C143" t="s">
        <v>169</v>
      </c>
      <c r="J143" s="121"/>
    </row>
    <row r="144" spans="2:15">
      <c r="B144" s="119"/>
      <c r="C144" t="s">
        <v>170</v>
      </c>
      <c r="J144" s="121"/>
    </row>
    <row r="145" spans="2:15">
      <c r="B145" s="119"/>
      <c r="C145" t="s">
        <v>152</v>
      </c>
      <c r="J145" s="121"/>
    </row>
    <row r="146" spans="2:15">
      <c r="B146" s="119"/>
      <c r="D146" t="s">
        <v>171</v>
      </c>
      <c r="F146">
        <v>7.11</v>
      </c>
      <c r="G146" t="s">
        <v>154</v>
      </c>
      <c r="J146" s="121"/>
    </row>
    <row r="147" spans="2:15">
      <c r="B147" s="119"/>
      <c r="D147" t="s">
        <v>172</v>
      </c>
      <c r="F147">
        <v>2.33</v>
      </c>
      <c r="G147" t="s">
        <v>154</v>
      </c>
      <c r="J147" s="121"/>
    </row>
    <row r="148" spans="2:15">
      <c r="B148" s="119"/>
      <c r="J148" s="121"/>
    </row>
    <row r="149" spans="2:15">
      <c r="B149" s="119"/>
      <c r="C149" s="82" t="s">
        <v>156</v>
      </c>
      <c r="D149" s="36">
        <f>+I14+I64</f>
        <v>0</v>
      </c>
      <c r="E149" t="s">
        <v>157</v>
      </c>
      <c r="J149" s="121"/>
    </row>
    <row r="150" spans="2:15">
      <c r="B150" s="119"/>
      <c r="D150" s="36">
        <f>+I15+I65</f>
        <v>0</v>
      </c>
      <c r="J150" s="121"/>
    </row>
    <row r="151" spans="2:15">
      <c r="B151" s="119"/>
      <c r="J151" s="121"/>
      <c r="L151" s="50" t="s">
        <v>158</v>
      </c>
      <c r="M151" s="50" t="s">
        <v>159</v>
      </c>
      <c r="N151" s="50" t="s">
        <v>160</v>
      </c>
    </row>
    <row r="152" spans="2:15">
      <c r="B152" s="119"/>
      <c r="C152" s="82" t="s">
        <v>161</v>
      </c>
      <c r="D152" t="str">
        <f>+IF(O152=1,FIXED(K152,2)&amp;" %",IF(O152=2,"183.41×"&amp;FIXED(D149,0)&amp;" ^-0.2107　＝　"&amp;FIXED(K152,2)&amp;" %",IF(O152=3,FIXED(K152,2),0)))</f>
        <v>7.11 %</v>
      </c>
      <c r="J152" s="121"/>
      <c r="K152">
        <f>+SUM(L152:N152)</f>
        <v>7.11</v>
      </c>
      <c r="L152">
        <f>+IF(D149&lt;=5000000,F146,0)</f>
        <v>7.11</v>
      </c>
      <c r="M152">
        <f>+IF(AND(D149&gt;=5000000,D149&lt;100000000),ROUND(183.41*D149^-0.2107,2),0)</f>
        <v>0</v>
      </c>
      <c r="N152">
        <f>+IF(D149&gt;100000000,F147,0)</f>
        <v>0</v>
      </c>
      <c r="O152">
        <f>+IF(L152&gt;0,1,IF(M152&gt;0,2,IF(N152&gt;0,3,0)))</f>
        <v>1</v>
      </c>
    </row>
    <row r="153" spans="2:15">
      <c r="B153" s="119"/>
      <c r="D153">
        <f>+IF(O153=1,FIXED(K153,2)&amp;" %",IF(O153=2,"183.41×"&amp;FIXED(D150,0)&amp;" ^-0.2107　＝　"&amp;FIXED(K153,2)&amp;" %",IF(O153=3,FIXED(K153,2),0)))</f>
        <v>0</v>
      </c>
      <c r="J153" s="121"/>
      <c r="K153">
        <f>+SUM(L153:N153)</f>
        <v>0</v>
      </c>
      <c r="L153">
        <f>+IF(D150&gt;0,IF(D150&lt;=5000000,F146,0),0)</f>
        <v>0</v>
      </c>
      <c r="M153">
        <f>+IF(AND(D150&gt;=5000000,D150&lt;100000000),ROUND(183.41*D150^-0.2107,2),0)</f>
        <v>0</v>
      </c>
      <c r="N153">
        <f>+IF(D150&gt;0,IF(D150&gt;100000000,F147,0),0)</f>
        <v>0</v>
      </c>
      <c r="O153">
        <f>+IF(L153&gt;0,1,IF(M153&gt;0,2,IF(N153&gt;0,3,0)))</f>
        <v>0</v>
      </c>
    </row>
    <row r="154" spans="2:15">
      <c r="B154" s="119"/>
      <c r="J154" s="121"/>
    </row>
    <row r="155" spans="2:15">
      <c r="B155" s="119"/>
      <c r="J155" s="121"/>
    </row>
    <row r="156" spans="2:15">
      <c r="B156" s="119"/>
      <c r="J156" s="121"/>
    </row>
    <row r="157" spans="2:15">
      <c r="B157" s="119"/>
      <c r="J157" s="121"/>
    </row>
    <row r="158" spans="2:15">
      <c r="B158" s="119"/>
      <c r="J158" s="121"/>
    </row>
    <row r="159" spans="2:15">
      <c r="B159" s="119"/>
      <c r="J159" s="121"/>
    </row>
    <row r="160" spans="2:15">
      <c r="B160" s="119"/>
      <c r="J160" s="121"/>
    </row>
    <row r="161" spans="2:15">
      <c r="B161" s="19"/>
      <c r="C161" s="20"/>
      <c r="D161" s="20"/>
      <c r="E161" s="20"/>
      <c r="F161" s="20"/>
      <c r="G161" s="20"/>
      <c r="H161" s="20"/>
      <c r="I161" s="20"/>
      <c r="J161" s="21"/>
    </row>
    <row r="162" spans="2:15">
      <c r="B162" s="119"/>
      <c r="J162" s="121"/>
    </row>
    <row r="163" spans="2:15">
      <c r="B163" s="119" t="s">
        <v>173</v>
      </c>
      <c r="J163" s="120" t="s">
        <v>929</v>
      </c>
    </row>
    <row r="164" spans="2:15">
      <c r="B164" s="119"/>
      <c r="J164" s="121"/>
    </row>
    <row r="165" spans="2:15">
      <c r="B165" s="119" t="s">
        <v>174</v>
      </c>
      <c r="J165" s="121"/>
    </row>
    <row r="166" spans="2:15">
      <c r="B166" s="119"/>
      <c r="C166" t="s">
        <v>863</v>
      </c>
      <c r="J166" s="121"/>
    </row>
    <row r="167" spans="2:15">
      <c r="B167" s="119"/>
      <c r="C167" t="s">
        <v>175</v>
      </c>
      <c r="J167" s="121"/>
    </row>
    <row r="168" spans="2:15">
      <c r="B168" s="119"/>
      <c r="C168" t="s">
        <v>176</v>
      </c>
      <c r="J168" s="121"/>
    </row>
    <row r="169" spans="2:15">
      <c r="B169" s="119"/>
      <c r="C169" t="s">
        <v>152</v>
      </c>
      <c r="J169" s="121"/>
    </row>
    <row r="170" spans="2:15">
      <c r="B170" s="119"/>
      <c r="D170" t="s">
        <v>171</v>
      </c>
      <c r="F170" s="122">
        <v>26.17</v>
      </c>
      <c r="G170" t="s">
        <v>154</v>
      </c>
      <c r="J170" s="121"/>
    </row>
    <row r="171" spans="2:15">
      <c r="B171" s="119"/>
      <c r="D171" t="s">
        <v>177</v>
      </c>
      <c r="F171" s="122">
        <v>22.18</v>
      </c>
      <c r="G171" t="s">
        <v>154</v>
      </c>
      <c r="J171" s="121"/>
    </row>
    <row r="172" spans="2:15">
      <c r="B172" s="119"/>
      <c r="J172" s="121"/>
    </row>
    <row r="173" spans="2:15">
      <c r="B173" s="119"/>
      <c r="C173" s="82" t="s">
        <v>156</v>
      </c>
      <c r="D173" s="36">
        <f>+I72</f>
        <v>0</v>
      </c>
      <c r="E173" t="s">
        <v>157</v>
      </c>
      <c r="J173" s="121"/>
    </row>
    <row r="174" spans="2:15">
      <c r="B174" s="119"/>
      <c r="D174" s="36">
        <f>+I73</f>
        <v>0</v>
      </c>
      <c r="J174" s="121"/>
    </row>
    <row r="175" spans="2:15">
      <c r="B175" s="119"/>
      <c r="J175" s="121"/>
      <c r="L175" s="50" t="s">
        <v>158</v>
      </c>
      <c r="M175" s="50" t="s">
        <v>159</v>
      </c>
      <c r="N175" s="50" t="s">
        <v>160</v>
      </c>
    </row>
    <row r="176" spans="2:15">
      <c r="B176" s="119"/>
      <c r="C176" s="82" t="s">
        <v>161</v>
      </c>
      <c r="D176" t="str">
        <f>+IF(O176=1,FIXED(K176,2)&amp;" %",IF(O176=2,"-1.43571×Log("&amp;FIXED(D173,0)&amp;"）+35.789　＝　"&amp;FIXED(K176,2)&amp;" %",IF(O176=3,FIXED(K176,2),0)))</f>
        <v>26.17 %</v>
      </c>
      <c r="J176" s="121"/>
      <c r="K176">
        <f>+SUM(L176:N176)</f>
        <v>26.17</v>
      </c>
      <c r="L176">
        <f>+IF(D173&lt;=5000000,F170,0)</f>
        <v>26.17</v>
      </c>
      <c r="M176">
        <f>+IF(AND(D173&gt;=5000000,D173&lt;3000000000),ROUND(-1.43571*LOG(D173)+35.789,2),0)</f>
        <v>0</v>
      </c>
      <c r="N176">
        <f>+IF(D173&gt;3000000000,F171,0)</f>
        <v>0</v>
      </c>
      <c r="O176">
        <f>+IF(L176&gt;0,1,IF(M176&gt;0,2,IF(N176&gt;0,3,0)))</f>
        <v>1</v>
      </c>
    </row>
    <row r="177" spans="2:15">
      <c r="B177" s="119"/>
      <c r="D177">
        <f>+IF(O177=1,FIXED(K177,2)&amp;" %",IF(O177=2,"-2.9648×Log("&amp;FIXED(D174,0)&amp;"）+46.862　＝　"&amp;FIXED(K177,2)&amp;" %",IF(O177=3,FIXED(K177,2),0)))</f>
        <v>0</v>
      </c>
      <c r="J177" s="121"/>
      <c r="K177">
        <f>+SUM(L177:N177)</f>
        <v>0</v>
      </c>
      <c r="L177">
        <f>+IF(D174&gt;0,IF(D174&lt;=5000000,F170,0),0)</f>
        <v>0</v>
      </c>
      <c r="M177">
        <f>+IF(AND(D174&gt;=5000000,D174&lt;3000000000),ROUND(-2.9648*LOG(D174)+46.862,2),0)</f>
        <v>0</v>
      </c>
      <c r="N177">
        <f>+IF(D174&gt;0,IF(D174&gt;3000000000,F171,0),0)</f>
        <v>0</v>
      </c>
      <c r="O177">
        <f>+IF(L177&gt;0,1,IF(M177&gt;0,2,IF(N177&gt;0,3,0)))</f>
        <v>0</v>
      </c>
    </row>
    <row r="178" spans="2:15">
      <c r="B178" s="119"/>
      <c r="J178" s="121"/>
    </row>
    <row r="179" spans="2:15">
      <c r="B179" s="119" t="s">
        <v>178</v>
      </c>
      <c r="J179" s="121"/>
      <c r="L179" t="s">
        <v>179</v>
      </c>
      <c r="N179" s="122">
        <v>1.05</v>
      </c>
    </row>
    <row r="180" spans="2:15">
      <c r="B180" s="119"/>
      <c r="E180" s="123" t="s">
        <v>180</v>
      </c>
      <c r="F180" s="124">
        <f>LOOKUP(E180,L179:L183,N179:N183)</f>
        <v>1</v>
      </c>
      <c r="G180" t="s">
        <v>154</v>
      </c>
      <c r="J180" s="121"/>
      <c r="L180" t="s">
        <v>181</v>
      </c>
      <c r="N180" s="122">
        <v>1.04</v>
      </c>
    </row>
    <row r="181" spans="2:15">
      <c r="B181" s="119"/>
      <c r="E181" s="125" t="s">
        <v>180</v>
      </c>
      <c r="F181" s="124">
        <f>LOOKUP(E181,L179:L183,N179:N183)</f>
        <v>1</v>
      </c>
      <c r="J181" s="121"/>
      <c r="L181" t="s">
        <v>182</v>
      </c>
      <c r="N181" s="122">
        <v>1.03</v>
      </c>
    </row>
    <row r="182" spans="2:15">
      <c r="B182" s="119"/>
      <c r="J182" s="121"/>
      <c r="L182" t="s">
        <v>183</v>
      </c>
      <c r="N182" s="122">
        <v>1.01</v>
      </c>
    </row>
    <row r="183" spans="2:15">
      <c r="B183" s="119" t="s">
        <v>184</v>
      </c>
      <c r="J183" s="121"/>
      <c r="L183" t="s">
        <v>180</v>
      </c>
      <c r="N183" s="122">
        <v>1</v>
      </c>
    </row>
    <row r="184" spans="2:15">
      <c r="B184" s="119"/>
      <c r="C184" t="s">
        <v>185</v>
      </c>
      <c r="J184" s="121"/>
    </row>
    <row r="185" spans="2:15">
      <c r="B185" s="119"/>
      <c r="C185" t="s">
        <v>186</v>
      </c>
      <c r="J185" s="121"/>
    </row>
    <row r="186" spans="2:15">
      <c r="B186" s="119"/>
      <c r="C186" t="s">
        <v>187</v>
      </c>
      <c r="J186" s="121"/>
    </row>
    <row r="187" spans="2:15">
      <c r="B187" s="119"/>
      <c r="J187" s="121"/>
    </row>
    <row r="188" spans="2:15">
      <c r="B188" s="119"/>
      <c r="C188" s="82" t="s">
        <v>188</v>
      </c>
      <c r="D188" t="e">
        <f>+FIXED(I14,0)&amp;" / "&amp;FIXED(D173,0)&amp;"　＝　"&amp;FIXED(L188,2)&amp;" %"</f>
        <v>#DIV/0!</v>
      </c>
      <c r="J188" s="121"/>
      <c r="L188" s="126" t="e">
        <f>+ROUND(I14/I72,2)</f>
        <v>#DIV/0!</v>
      </c>
    </row>
    <row r="189" spans="2:15">
      <c r="B189" s="119"/>
      <c r="D189" t="str">
        <f>+IF(D174&gt;0,FIXED(I15,0)&amp;" / "&amp;FIXED(D174,0)&amp;"　＝　"&amp;FIXED(L189,2)&amp;" %","")</f>
        <v/>
      </c>
      <c r="J189" s="121"/>
      <c r="L189" s="126">
        <f>+IF(I73&gt;0,ROUND(I15/I73,2),0)</f>
        <v>0</v>
      </c>
    </row>
    <row r="190" spans="2:15">
      <c r="B190" s="119"/>
      <c r="J190" s="121"/>
    </row>
    <row r="191" spans="2:15">
      <c r="B191" s="119"/>
      <c r="C191" s="82" t="s">
        <v>189</v>
      </c>
      <c r="D191" t="e">
        <f>+"1- ("&amp;FIXED(L188,2)&amp;" / 1.25)　＝　"&amp;FIXED(L191,2)</f>
        <v>#DIV/0!</v>
      </c>
      <c r="J191" s="121"/>
      <c r="L191" s="126" t="e">
        <f>+ROUND(1-(L188/1.25),2)</f>
        <v>#DIV/0!</v>
      </c>
    </row>
    <row r="192" spans="2:15">
      <c r="B192" s="119"/>
      <c r="D192" t="str">
        <f>+IF(D174&gt;0,"1- ("&amp;FIXED(L189,2)&amp;" / 1.25)　＝　"&amp;FIXED(L192,2),"")</f>
        <v/>
      </c>
      <c r="J192" s="121"/>
      <c r="L192" s="126">
        <f>+IF(D174&gt;0,ROUND(1-(L189/1.25),2),0)</f>
        <v>0</v>
      </c>
    </row>
    <row r="193" spans="2:12">
      <c r="B193" s="119"/>
      <c r="J193" s="121"/>
    </row>
    <row r="194" spans="2:12">
      <c r="B194" s="119" t="s">
        <v>190</v>
      </c>
      <c r="J194" s="121"/>
    </row>
    <row r="195" spans="2:12">
      <c r="B195" s="119"/>
      <c r="C195" t="s">
        <v>191</v>
      </c>
      <c r="J195" s="121"/>
    </row>
    <row r="196" spans="2:12">
      <c r="B196" s="119"/>
      <c r="C196" t="s">
        <v>192</v>
      </c>
      <c r="J196" s="121"/>
    </row>
    <row r="197" spans="2:12">
      <c r="B197" s="119"/>
      <c r="J197" s="121"/>
    </row>
    <row r="198" spans="2:12">
      <c r="B198" s="119"/>
      <c r="C198" s="82" t="s">
        <v>193</v>
      </c>
      <c r="D198" t="e">
        <f>+FIXED(K176,2)&amp;" × "&amp;FIXED(F180,2)&amp;" × "&amp;FIXED(L191,2)&amp;"　＝　"&amp;FIXED(L198,2)&amp;" %"</f>
        <v>#DIV/0!</v>
      </c>
      <c r="J198" s="121"/>
      <c r="L198" s="126" t="e">
        <f>+ROUND(K176*F180*L191,2)</f>
        <v>#DIV/0!</v>
      </c>
    </row>
    <row r="199" spans="2:12">
      <c r="B199" s="119"/>
      <c r="D199" t="str">
        <f>+IF(D174&gt;0,FIXED(K177,2)&amp;" × "&amp;FIXED(F181,2)&amp;" × "&amp;FIXED(L192,2)&amp;"　＝　"&amp;FIXED(L199,2)&amp;" %","")</f>
        <v/>
      </c>
      <c r="J199" s="121"/>
      <c r="L199" s="126">
        <f>+IF(D174&gt;0,ROUND(K177*F181*L192,2),0)</f>
        <v>0</v>
      </c>
    </row>
    <row r="200" spans="2:12">
      <c r="B200" s="119"/>
      <c r="J200" s="121"/>
    </row>
    <row r="201" spans="2:12">
      <c r="B201" s="119"/>
      <c r="J201" s="121"/>
    </row>
    <row r="202" spans="2:12">
      <c r="B202" s="119"/>
      <c r="J202" s="121"/>
    </row>
    <row r="203" spans="2:12">
      <c r="B203" s="119"/>
      <c r="J203" s="121"/>
    </row>
    <row r="204" spans="2:12">
      <c r="B204" s="119"/>
      <c r="J204" s="121"/>
    </row>
    <row r="205" spans="2:12">
      <c r="B205" s="119"/>
      <c r="J205" s="121"/>
    </row>
    <row r="206" spans="2:12">
      <c r="B206" s="119"/>
      <c r="J206" s="121"/>
    </row>
    <row r="207" spans="2:12">
      <c r="B207" s="119"/>
      <c r="J207" s="121"/>
    </row>
    <row r="208" spans="2:12">
      <c r="B208" s="119"/>
      <c r="J208" s="121"/>
    </row>
    <row r="209" spans="2:10">
      <c r="B209" s="119"/>
      <c r="J209" s="121"/>
    </row>
    <row r="210" spans="2:10">
      <c r="B210" s="119"/>
      <c r="J210" s="121"/>
    </row>
    <row r="211" spans="2:10">
      <c r="B211" s="119"/>
      <c r="J211" s="121"/>
    </row>
    <row r="212" spans="2:10">
      <c r="B212" s="119"/>
      <c r="J212" s="121"/>
    </row>
    <row r="213" spans="2:10">
      <c r="B213" s="119"/>
      <c r="J213" s="121"/>
    </row>
    <row r="214" spans="2:10">
      <c r="B214" s="119"/>
      <c r="J214" s="121"/>
    </row>
    <row r="215" spans="2:10">
      <c r="B215" s="119"/>
      <c r="J215" s="121"/>
    </row>
    <row r="216" spans="2:10">
      <c r="B216" s="119"/>
      <c r="J216" s="121"/>
    </row>
    <row r="217" spans="2:10">
      <c r="B217" s="119"/>
      <c r="J217" s="121"/>
    </row>
    <row r="218" spans="2:10">
      <c r="B218" s="119"/>
      <c r="J218" s="121"/>
    </row>
    <row r="219" spans="2:10">
      <c r="B219" s="19"/>
      <c r="C219" s="20"/>
      <c r="D219" s="20"/>
      <c r="E219" s="20"/>
      <c r="F219" s="20"/>
      <c r="G219" s="20"/>
      <c r="H219" s="20"/>
      <c r="I219" s="20"/>
      <c r="J219" s="21"/>
    </row>
  </sheetData>
  <mergeCells count="9">
    <mergeCell ref="J4:J5"/>
    <mergeCell ref="D2:I3"/>
    <mergeCell ref="B4:B5"/>
    <mergeCell ref="C4:C5"/>
    <mergeCell ref="D4:E5"/>
    <mergeCell ref="F4:F5"/>
    <mergeCell ref="G4:G5"/>
    <mergeCell ref="H4:H5"/>
    <mergeCell ref="I4:I5"/>
  </mergeCells>
  <phoneticPr fontId="3"/>
  <dataValidations count="1">
    <dataValidation type="list" allowBlank="1" showInputMessage="1" showErrorMessage="1" sqref="E180:E181" xr:uid="{00000000-0002-0000-1700-000000000000}">
      <formula1>$L$179:$L$183</formula1>
    </dataValidation>
  </dataValidations>
  <hyperlinks>
    <hyperlink ref="A1" location="menu!A1" display="menu" xr:uid="{00000000-0004-0000-1700-000000000000}"/>
  </hyperlinks>
  <printOptions horizontalCentered="1"/>
  <pageMargins left="0.78740157480314965" right="0.39370078740157483" top="0.39370078740157483" bottom="0.39370078740157483" header="0.31496062992125984" footer="0.11811023622047245"/>
  <pageSetup paperSize="9" scale="66" orientation="portrait" blackAndWhite="1" errors="blank" r:id="rId1"/>
  <headerFooter>
    <oddFooter>&amp;C&amp;P</oddFooter>
  </headerFooter>
  <rowBreaks count="3" manualBreakCount="3">
    <brk id="43" min="1" max="9" man="1"/>
    <brk id="103" min="1" max="9" man="1"/>
    <brk id="161" min="1"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T49"/>
  <sheetViews>
    <sheetView showGridLines="0" showZeros="0" view="pageBreakPreview" topLeftCell="AH1" zoomScale="85" zoomScaleNormal="100" zoomScaleSheetLayoutView="85" workbookViewId="0">
      <selection activeCell="AT17" sqref="AT17"/>
    </sheetView>
  </sheetViews>
  <sheetFormatPr defaultRowHeight="18.75"/>
  <cols>
    <col min="2" max="2" width="20.625" customWidth="1"/>
    <col min="3" max="3" width="23.625" customWidth="1"/>
    <col min="4" max="4" width="8.625" customWidth="1"/>
    <col min="5" max="5" width="5.625" customWidth="1"/>
    <col min="6" max="7" width="12.625" customWidth="1"/>
    <col min="8" max="8" width="17.625" customWidth="1"/>
    <col min="9" max="9" width="2.625" customWidth="1"/>
    <col min="10" max="10" width="20.625" customWidth="1"/>
    <col min="11" max="11" width="23.625" customWidth="1"/>
    <col min="12" max="12" width="8.625" customWidth="1"/>
    <col min="13" max="13" width="5.625" customWidth="1"/>
    <col min="14" max="15" width="12.625" customWidth="1"/>
    <col min="16" max="16" width="17.625" customWidth="1"/>
    <col min="17" max="17" width="2.625" customWidth="1"/>
    <col min="18" max="18" width="20.625" customWidth="1"/>
    <col min="19" max="19" width="23.625" customWidth="1"/>
    <col min="20" max="20" width="8.625" customWidth="1"/>
    <col min="21" max="21" width="5.625" customWidth="1"/>
    <col min="22" max="23" width="12.625" customWidth="1"/>
    <col min="24" max="24" width="17.625" customWidth="1"/>
    <col min="25" max="25" width="2.625" customWidth="1"/>
    <col min="26" max="26" width="20.625" customWidth="1"/>
    <col min="27" max="27" width="23.625" customWidth="1"/>
    <col min="28" max="28" width="8.625" customWidth="1"/>
    <col min="29" max="29" width="5.625" customWidth="1"/>
    <col min="30" max="31" width="12.625" customWidth="1"/>
    <col min="32" max="32" width="17.625" customWidth="1"/>
    <col min="33" max="33" width="2.625" customWidth="1"/>
    <col min="34" max="34" width="20.625" customWidth="1"/>
    <col min="35" max="35" width="23.625" customWidth="1"/>
    <col min="36" max="36" width="8.625" customWidth="1"/>
    <col min="37" max="37" width="5.625" customWidth="1"/>
    <col min="38" max="39" width="12.625" customWidth="1"/>
    <col min="40" max="40" width="17.625" customWidth="1"/>
    <col min="41" max="41" width="2.625" customWidth="1"/>
    <col min="42" max="42" width="20.625" customWidth="1"/>
    <col min="43" max="43" width="23.625" customWidth="1"/>
    <col min="44" max="44" width="8.625" customWidth="1"/>
    <col min="45" max="45" width="5.625" customWidth="1"/>
    <col min="46" max="47" width="12.625" customWidth="1"/>
    <col min="48" max="48" width="17.625" customWidth="1"/>
    <col min="49" max="49" width="2.625" customWidth="1"/>
    <col min="50" max="50" width="20.625" customWidth="1"/>
    <col min="51" max="51" width="23.625" customWidth="1"/>
    <col min="52" max="52" width="8.625" customWidth="1"/>
    <col min="53" max="53" width="5.625" customWidth="1"/>
    <col min="54" max="55" width="12.625" customWidth="1"/>
    <col min="56" max="56" width="17.625" customWidth="1"/>
    <col min="57" max="57" width="2.625" customWidth="1"/>
    <col min="58" max="58" width="20.625" customWidth="1"/>
    <col min="59" max="59" width="23.625" customWidth="1"/>
    <col min="60" max="60" width="8.625" customWidth="1"/>
    <col min="61" max="61" width="5.625" customWidth="1"/>
    <col min="62" max="63" width="12.625" customWidth="1"/>
    <col min="64" max="64" width="17.625" customWidth="1"/>
    <col min="65" max="65" width="2.625" customWidth="1"/>
    <col min="66" max="66" width="20.625" customWidth="1"/>
    <col min="67" max="67" width="23.625" customWidth="1"/>
    <col min="68" max="68" width="8.625" customWidth="1"/>
    <col min="69" max="69" width="5.625" customWidth="1"/>
    <col min="70" max="71" width="12.625" customWidth="1"/>
    <col min="72" max="72" width="17.625" customWidth="1"/>
  </cols>
  <sheetData>
    <row r="1" spans="1:72">
      <c r="A1" s="298" t="s">
        <v>476</v>
      </c>
    </row>
    <row r="2" spans="1:72" ht="18.75" customHeight="1">
      <c r="B2" s="674" t="s">
        <v>0</v>
      </c>
      <c r="C2" s="675"/>
      <c r="D2" s="678">
        <v>1</v>
      </c>
      <c r="E2" s="678"/>
      <c r="F2" s="675" t="s">
        <v>10</v>
      </c>
      <c r="G2" s="675"/>
      <c r="H2" s="680" t="s">
        <v>9</v>
      </c>
      <c r="J2" s="674" t="s">
        <v>0</v>
      </c>
      <c r="K2" s="675"/>
      <c r="L2" s="678">
        <v>1</v>
      </c>
      <c r="M2" s="678"/>
      <c r="N2" s="675" t="s">
        <v>19</v>
      </c>
      <c r="O2" s="675"/>
      <c r="P2" s="680" t="s">
        <v>9</v>
      </c>
      <c r="R2" s="674" t="s">
        <v>0</v>
      </c>
      <c r="S2" s="675"/>
      <c r="T2" s="678">
        <v>2</v>
      </c>
      <c r="U2" s="678"/>
      <c r="V2" s="675" t="s">
        <v>21</v>
      </c>
      <c r="W2" s="675"/>
      <c r="X2" s="680" t="s">
        <v>9</v>
      </c>
      <c r="Z2" s="674" t="s">
        <v>0</v>
      </c>
      <c r="AA2" s="675"/>
      <c r="AB2" s="678">
        <v>3</v>
      </c>
      <c r="AC2" s="678"/>
      <c r="AD2" s="675" t="s">
        <v>23</v>
      </c>
      <c r="AE2" s="675"/>
      <c r="AF2" s="680" t="s">
        <v>9</v>
      </c>
      <c r="AH2" s="674" t="s">
        <v>0</v>
      </c>
      <c r="AI2" s="675"/>
      <c r="AJ2" s="678">
        <v>5</v>
      </c>
      <c r="AK2" s="678"/>
      <c r="AL2" s="675" t="s">
        <v>29</v>
      </c>
      <c r="AM2" s="675"/>
      <c r="AN2" s="680" t="s">
        <v>9</v>
      </c>
      <c r="AP2" s="674" t="s">
        <v>0</v>
      </c>
      <c r="AQ2" s="675"/>
      <c r="AR2" s="678">
        <v>4</v>
      </c>
      <c r="AS2" s="678"/>
      <c r="AT2" s="675" t="s">
        <v>31</v>
      </c>
      <c r="AU2" s="675"/>
      <c r="AV2" s="680" t="s">
        <v>9</v>
      </c>
      <c r="AX2" s="674" t="s">
        <v>0</v>
      </c>
      <c r="AY2" s="675"/>
      <c r="AZ2" s="678">
        <v>5</v>
      </c>
      <c r="BA2" s="678"/>
      <c r="BB2" s="675" t="s">
        <v>42</v>
      </c>
      <c r="BC2" s="675"/>
      <c r="BD2" s="680" t="s">
        <v>9</v>
      </c>
      <c r="BF2" s="674" t="s">
        <v>0</v>
      </c>
      <c r="BG2" s="675"/>
      <c r="BH2" s="678">
        <v>6</v>
      </c>
      <c r="BI2" s="678"/>
      <c r="BJ2" s="675" t="s">
        <v>44</v>
      </c>
      <c r="BK2" s="675"/>
      <c r="BL2" s="680" t="s">
        <v>9</v>
      </c>
      <c r="BN2" s="674" t="s">
        <v>0</v>
      </c>
      <c r="BO2" s="675"/>
      <c r="BP2" s="678" t="s">
        <v>839</v>
      </c>
      <c r="BQ2" s="678"/>
      <c r="BR2" s="688" t="s">
        <v>31</v>
      </c>
      <c r="BS2" s="688"/>
      <c r="BT2" s="680" t="s">
        <v>9</v>
      </c>
    </row>
    <row r="3" spans="1:72" ht="18.75" customHeight="1">
      <c r="B3" s="676"/>
      <c r="C3" s="677"/>
      <c r="D3" s="679"/>
      <c r="E3" s="679"/>
      <c r="F3" s="677"/>
      <c r="G3" s="677"/>
      <c r="H3" s="681"/>
      <c r="J3" s="676"/>
      <c r="K3" s="677"/>
      <c r="L3" s="679"/>
      <c r="M3" s="679"/>
      <c r="N3" s="677"/>
      <c r="O3" s="677"/>
      <c r="P3" s="681"/>
      <c r="R3" s="676"/>
      <c r="S3" s="677"/>
      <c r="T3" s="679"/>
      <c r="U3" s="679"/>
      <c r="V3" s="677"/>
      <c r="W3" s="677"/>
      <c r="X3" s="681"/>
      <c r="Z3" s="676"/>
      <c r="AA3" s="677"/>
      <c r="AB3" s="679"/>
      <c r="AC3" s="679"/>
      <c r="AD3" s="677"/>
      <c r="AE3" s="677"/>
      <c r="AF3" s="681"/>
      <c r="AH3" s="676"/>
      <c r="AI3" s="677"/>
      <c r="AJ3" s="679"/>
      <c r="AK3" s="679"/>
      <c r="AL3" s="677"/>
      <c r="AM3" s="677"/>
      <c r="AN3" s="681"/>
      <c r="AP3" s="676"/>
      <c r="AQ3" s="677"/>
      <c r="AR3" s="679"/>
      <c r="AS3" s="679"/>
      <c r="AT3" s="677"/>
      <c r="AU3" s="677"/>
      <c r="AV3" s="681"/>
      <c r="AX3" s="676"/>
      <c r="AY3" s="677"/>
      <c r="AZ3" s="679"/>
      <c r="BA3" s="679"/>
      <c r="BB3" s="677"/>
      <c r="BC3" s="677"/>
      <c r="BD3" s="681"/>
      <c r="BF3" s="676"/>
      <c r="BG3" s="677"/>
      <c r="BH3" s="679"/>
      <c r="BI3" s="679"/>
      <c r="BJ3" s="677"/>
      <c r="BK3" s="677"/>
      <c r="BL3" s="681"/>
      <c r="BN3" s="676"/>
      <c r="BO3" s="677"/>
      <c r="BP3" s="679"/>
      <c r="BQ3" s="679"/>
      <c r="BR3" s="689"/>
      <c r="BS3" s="689"/>
      <c r="BT3" s="681"/>
    </row>
    <row r="4" spans="1:72" ht="19.5" thickBot="1">
      <c r="B4" s="24" t="s">
        <v>5</v>
      </c>
      <c r="C4" s="25" t="s">
        <v>1</v>
      </c>
      <c r="D4" s="25" t="s">
        <v>4</v>
      </c>
      <c r="E4" s="25" t="s">
        <v>3</v>
      </c>
      <c r="F4" s="25" t="s">
        <v>6</v>
      </c>
      <c r="G4" s="25" t="s">
        <v>7</v>
      </c>
      <c r="H4" s="25" t="s">
        <v>8</v>
      </c>
      <c r="J4" s="24" t="s">
        <v>5</v>
      </c>
      <c r="K4" s="25" t="s">
        <v>1</v>
      </c>
      <c r="L4" s="25" t="s">
        <v>4</v>
      </c>
      <c r="M4" s="25" t="s">
        <v>3</v>
      </c>
      <c r="N4" s="25" t="s">
        <v>6</v>
      </c>
      <c r="O4" s="25" t="s">
        <v>7</v>
      </c>
      <c r="P4" s="25" t="s">
        <v>8</v>
      </c>
      <c r="R4" s="24" t="s">
        <v>5</v>
      </c>
      <c r="S4" s="25" t="s">
        <v>1</v>
      </c>
      <c r="T4" s="25" t="s">
        <v>4</v>
      </c>
      <c r="U4" s="25" t="s">
        <v>3</v>
      </c>
      <c r="V4" s="25" t="s">
        <v>6</v>
      </c>
      <c r="W4" s="25" t="s">
        <v>7</v>
      </c>
      <c r="X4" s="25" t="s">
        <v>8</v>
      </c>
      <c r="Z4" s="24" t="s">
        <v>5</v>
      </c>
      <c r="AA4" s="25" t="s">
        <v>1</v>
      </c>
      <c r="AB4" s="25" t="s">
        <v>4</v>
      </c>
      <c r="AC4" s="25" t="s">
        <v>3</v>
      </c>
      <c r="AD4" s="25" t="s">
        <v>6</v>
      </c>
      <c r="AE4" s="25" t="s">
        <v>7</v>
      </c>
      <c r="AF4" s="25" t="s">
        <v>8</v>
      </c>
      <c r="AH4" s="24" t="s">
        <v>5</v>
      </c>
      <c r="AI4" s="25" t="s">
        <v>1</v>
      </c>
      <c r="AJ4" s="25" t="s">
        <v>4</v>
      </c>
      <c r="AK4" s="25" t="s">
        <v>3</v>
      </c>
      <c r="AL4" s="25" t="s">
        <v>6</v>
      </c>
      <c r="AM4" s="25" t="s">
        <v>7</v>
      </c>
      <c r="AN4" s="25" t="s">
        <v>8</v>
      </c>
      <c r="AP4" s="24" t="s">
        <v>5</v>
      </c>
      <c r="AQ4" s="25" t="s">
        <v>1</v>
      </c>
      <c r="AR4" s="25" t="s">
        <v>4</v>
      </c>
      <c r="AS4" s="25" t="s">
        <v>3</v>
      </c>
      <c r="AT4" s="25" t="s">
        <v>6</v>
      </c>
      <c r="AU4" s="25" t="s">
        <v>7</v>
      </c>
      <c r="AV4" s="25" t="s">
        <v>8</v>
      </c>
      <c r="AX4" s="24" t="s">
        <v>5</v>
      </c>
      <c r="AY4" s="25" t="s">
        <v>1</v>
      </c>
      <c r="AZ4" s="25" t="s">
        <v>4</v>
      </c>
      <c r="BA4" s="25" t="s">
        <v>3</v>
      </c>
      <c r="BB4" s="25" t="s">
        <v>6</v>
      </c>
      <c r="BC4" s="25" t="s">
        <v>7</v>
      </c>
      <c r="BD4" s="25" t="s">
        <v>8</v>
      </c>
      <c r="BF4" s="24" t="s">
        <v>5</v>
      </c>
      <c r="BG4" s="25" t="s">
        <v>1</v>
      </c>
      <c r="BH4" s="25" t="s">
        <v>4</v>
      </c>
      <c r="BI4" s="25" t="s">
        <v>3</v>
      </c>
      <c r="BJ4" s="25" t="s">
        <v>6</v>
      </c>
      <c r="BK4" s="25" t="s">
        <v>7</v>
      </c>
      <c r="BL4" s="25" t="s">
        <v>8</v>
      </c>
      <c r="BN4" s="24" t="s">
        <v>5</v>
      </c>
      <c r="BO4" s="25" t="s">
        <v>1</v>
      </c>
      <c r="BP4" s="25" t="s">
        <v>4</v>
      </c>
      <c r="BQ4" s="25" t="s">
        <v>3</v>
      </c>
      <c r="BR4" s="25" t="s">
        <v>6</v>
      </c>
      <c r="BS4" s="25" t="s">
        <v>7</v>
      </c>
      <c r="BT4" s="25" t="s">
        <v>8</v>
      </c>
    </row>
    <row r="5" spans="1:72" ht="19.5" customHeight="1" thickTop="1">
      <c r="B5" s="682"/>
      <c r="C5" s="687"/>
      <c r="D5" s="37"/>
      <c r="E5" s="30"/>
      <c r="F5" s="23"/>
      <c r="G5" s="23"/>
      <c r="H5" s="162"/>
      <c r="J5" s="661" t="s">
        <v>94</v>
      </c>
      <c r="K5" s="668" t="s">
        <v>579</v>
      </c>
      <c r="L5" s="39"/>
      <c r="M5" s="32" t="s">
        <v>20</v>
      </c>
      <c r="N5" s="11">
        <f>資材単価!I19</f>
        <v>233000</v>
      </c>
      <c r="O5" s="23">
        <f>+IF(N5&gt;0,INT(L5*N5),0)</f>
        <v>0</v>
      </c>
      <c r="P5" s="162" t="s">
        <v>645</v>
      </c>
      <c r="R5" s="667"/>
      <c r="S5" s="668"/>
      <c r="T5" s="39"/>
      <c r="U5" s="32"/>
      <c r="V5" s="11"/>
      <c r="W5" s="23"/>
      <c r="X5" s="162"/>
      <c r="Z5" s="682" t="s">
        <v>24</v>
      </c>
      <c r="AA5" s="683"/>
      <c r="AB5" s="40">
        <f>+'集計(機械)単独'!D47</f>
        <v>0</v>
      </c>
      <c r="AC5" s="30" t="s">
        <v>27</v>
      </c>
      <c r="AD5" s="23">
        <v>20000</v>
      </c>
      <c r="AE5" s="23">
        <f>+IF(AD5&gt;0,INT(AB5*AD5),0)</f>
        <v>0</v>
      </c>
      <c r="AF5" s="162" t="s">
        <v>28</v>
      </c>
      <c r="AH5" s="682" t="s">
        <v>30</v>
      </c>
      <c r="AI5" s="683"/>
      <c r="AJ5" s="40">
        <f>+'集計(機械)単独'!F47</f>
        <v>0</v>
      </c>
      <c r="AK5" s="30" t="s">
        <v>27</v>
      </c>
      <c r="AL5" s="23">
        <v>26800</v>
      </c>
      <c r="AM5" s="23">
        <f>+IF(AL5&gt;0,INT(AJ5*AL5),0)</f>
        <v>0</v>
      </c>
      <c r="AN5" s="162" t="s">
        <v>28</v>
      </c>
      <c r="AP5" s="682" t="s">
        <v>32</v>
      </c>
      <c r="AQ5" s="683" t="s">
        <v>33</v>
      </c>
      <c r="AR5" s="37"/>
      <c r="AS5" s="30" t="s">
        <v>770</v>
      </c>
      <c r="AT5" s="23">
        <v>17326</v>
      </c>
      <c r="AU5" s="23">
        <f>+IF(AT5&gt;0,INT(AR5*AT5),0)</f>
        <v>0</v>
      </c>
      <c r="AV5" s="43" t="s">
        <v>852</v>
      </c>
      <c r="AX5" s="682" t="s">
        <v>43</v>
      </c>
      <c r="AY5" s="683"/>
      <c r="AZ5" s="37"/>
      <c r="BA5" s="30" t="s">
        <v>27</v>
      </c>
      <c r="BB5" s="23">
        <v>14400</v>
      </c>
      <c r="BC5" s="23">
        <f>+IF(BB5&gt;0,INT(AZ5*BB5),0)</f>
        <v>0</v>
      </c>
      <c r="BD5" s="43"/>
      <c r="BF5" s="682" t="s">
        <v>45</v>
      </c>
      <c r="BG5" s="683" t="s">
        <v>46</v>
      </c>
      <c r="BH5" s="37"/>
      <c r="BI5" s="30" t="s">
        <v>47</v>
      </c>
      <c r="BJ5" s="23">
        <v>5910</v>
      </c>
      <c r="BK5" s="23">
        <f>+IF(BJ5&gt;0,INT(BH5*BJ5),0)</f>
        <v>0</v>
      </c>
      <c r="BL5" s="43" t="s">
        <v>864</v>
      </c>
      <c r="BN5" s="682" t="s">
        <v>652</v>
      </c>
      <c r="BO5" s="683" t="s">
        <v>650</v>
      </c>
      <c r="BP5" s="37"/>
      <c r="BQ5" s="30" t="s">
        <v>41</v>
      </c>
      <c r="BR5" s="23">
        <v>3001</v>
      </c>
      <c r="BS5" s="23">
        <f>+IF(BR5&gt;0,INT(BP5*BR5),0)</f>
        <v>0</v>
      </c>
      <c r="BT5" s="162" t="s">
        <v>654</v>
      </c>
    </row>
    <row r="6" spans="1:72">
      <c r="B6" s="662"/>
      <c r="C6" s="670"/>
      <c r="D6" s="38"/>
      <c r="E6" s="31"/>
      <c r="F6" s="13"/>
      <c r="G6" s="35"/>
      <c r="H6" s="163"/>
      <c r="J6" s="662"/>
      <c r="K6" s="664"/>
      <c r="L6" s="38"/>
      <c r="M6" s="31"/>
      <c r="N6" s="13"/>
      <c r="O6" s="35">
        <f>+IF(N6&gt;0,INT(L6*N6),0)</f>
        <v>0</v>
      </c>
      <c r="P6" s="163"/>
      <c r="R6" s="662"/>
      <c r="S6" s="664"/>
      <c r="T6" s="38"/>
      <c r="U6" s="31"/>
      <c r="V6" s="13"/>
      <c r="W6" s="35"/>
      <c r="X6" s="163"/>
      <c r="Z6" s="662"/>
      <c r="AA6" s="664"/>
      <c r="AB6" s="41">
        <f>+'集計(機械)単独'!D48</f>
        <v>0</v>
      </c>
      <c r="AC6" s="31"/>
      <c r="AD6" s="13"/>
      <c r="AE6" s="35">
        <f>+IF(AD6&gt;0,INT(AB6*AD6),0)</f>
        <v>0</v>
      </c>
      <c r="AF6" s="163"/>
      <c r="AH6" s="662"/>
      <c r="AI6" s="664"/>
      <c r="AJ6" s="41">
        <f>+'集計(機械)単独'!F48</f>
        <v>0</v>
      </c>
      <c r="AK6" s="31"/>
      <c r="AL6" s="13"/>
      <c r="AM6" s="35">
        <f>+IF(AL6&gt;0,INT(AJ6*AL6),0)</f>
        <v>0</v>
      </c>
      <c r="AN6" s="163"/>
      <c r="AP6" s="662"/>
      <c r="AQ6" s="664"/>
      <c r="AR6" s="38"/>
      <c r="AS6" s="31"/>
      <c r="AT6" s="13"/>
      <c r="AU6" s="35">
        <f>+IF(AT6&gt;0,INT(AR6*AT6),0)</f>
        <v>0</v>
      </c>
      <c r="AV6" s="44"/>
      <c r="AX6" s="662"/>
      <c r="AY6" s="664"/>
      <c r="AZ6" s="38"/>
      <c r="BA6" s="31"/>
      <c r="BB6" s="13"/>
      <c r="BC6" s="35">
        <f>+IF(BB6&gt;0,INT(AZ6*BB6),0)</f>
        <v>0</v>
      </c>
      <c r="BD6" s="44"/>
      <c r="BF6" s="662"/>
      <c r="BG6" s="664"/>
      <c r="BH6" s="38"/>
      <c r="BI6" s="31"/>
      <c r="BJ6" s="13"/>
      <c r="BK6" s="35">
        <f>+IF(BJ6&gt;0,INT(BH6*BJ6),0)</f>
        <v>0</v>
      </c>
      <c r="BL6" s="44"/>
      <c r="BN6" s="662"/>
      <c r="BO6" s="664"/>
      <c r="BP6" s="38"/>
      <c r="BQ6" s="31"/>
      <c r="BR6" s="13"/>
      <c r="BS6" s="35">
        <f>+IF(BR6&gt;0,INT(BP6*BR6),0)</f>
        <v>0</v>
      </c>
      <c r="BT6" s="163"/>
    </row>
    <row r="7" spans="1:72" ht="18.75" customHeight="1">
      <c r="B7" s="661"/>
      <c r="C7" s="668"/>
      <c r="D7" s="39"/>
      <c r="E7" s="32"/>
      <c r="F7" s="11"/>
      <c r="G7" s="23"/>
      <c r="H7" s="164"/>
      <c r="J7" s="661"/>
      <c r="K7" s="668"/>
      <c r="L7" s="39"/>
      <c r="M7" s="32"/>
      <c r="N7" s="11"/>
      <c r="O7" s="23"/>
      <c r="P7" s="162"/>
      <c r="R7" s="667" t="s">
        <v>887</v>
      </c>
      <c r="S7" s="668" t="s">
        <v>889</v>
      </c>
      <c r="T7" s="39"/>
      <c r="U7" s="32" t="s">
        <v>22</v>
      </c>
      <c r="V7" s="11">
        <v>51900</v>
      </c>
      <c r="W7" s="23">
        <f t="shared" ref="W7:W8" si="0">+IF(V7&gt;0,INT(T7*V7),0)</f>
        <v>0</v>
      </c>
      <c r="X7" s="162" t="s">
        <v>645</v>
      </c>
      <c r="Z7" s="661" t="s">
        <v>25</v>
      </c>
      <c r="AA7" s="668"/>
      <c r="AB7" s="42">
        <f>+'集計(機械)単独'!C47</f>
        <v>0</v>
      </c>
      <c r="AC7" s="32" t="s">
        <v>27</v>
      </c>
      <c r="AD7" s="11">
        <v>24400</v>
      </c>
      <c r="AE7" s="23">
        <f>+IF(AD7&gt;0,INT(AB7*AD7),0)</f>
        <v>0</v>
      </c>
      <c r="AF7" s="162" t="s">
        <v>28</v>
      </c>
      <c r="AH7" s="661"/>
      <c r="AI7" s="668"/>
      <c r="AJ7" s="42"/>
      <c r="AK7" s="32"/>
      <c r="AL7" s="11"/>
      <c r="AM7" s="23">
        <f>+IF(AL7&gt;0,INT(AJ7*AL7),0)</f>
        <v>0</v>
      </c>
      <c r="AN7" s="162"/>
      <c r="AP7" s="667" t="s">
        <v>36</v>
      </c>
      <c r="AQ7" s="668" t="s">
        <v>838</v>
      </c>
      <c r="AR7" s="39"/>
      <c r="AS7" s="32" t="s">
        <v>35</v>
      </c>
      <c r="AT7" s="11">
        <v>11800</v>
      </c>
      <c r="AU7" s="23">
        <f t="shared" ref="AU7:AU8" si="1">+IF(AT7&gt;0,INT(AR7*AT7),0)</f>
        <v>0</v>
      </c>
      <c r="AV7" s="164" t="s">
        <v>39</v>
      </c>
      <c r="AX7" s="661"/>
      <c r="AY7" s="668"/>
      <c r="AZ7" s="39"/>
      <c r="BA7" s="32"/>
      <c r="BB7" s="11"/>
      <c r="BC7" s="23">
        <f>+IF(BB7&gt;0,INT(AZ7*BB7),0)</f>
        <v>0</v>
      </c>
      <c r="BD7" s="43"/>
      <c r="BF7" s="661"/>
      <c r="BG7" s="668"/>
      <c r="BH7" s="39"/>
      <c r="BI7" s="32"/>
      <c r="BJ7" s="11"/>
      <c r="BK7" s="23">
        <f>+IF(BJ7&gt;0,INT(BH7*BJ7),0)</f>
        <v>0</v>
      </c>
      <c r="BL7" s="43"/>
      <c r="BN7" s="667" t="s">
        <v>651</v>
      </c>
      <c r="BO7" s="668" t="s">
        <v>671</v>
      </c>
      <c r="BP7" s="39"/>
      <c r="BQ7" s="32" t="s">
        <v>41</v>
      </c>
      <c r="BR7" s="11">
        <v>6598</v>
      </c>
      <c r="BS7" s="23">
        <f>+IF(BR7&gt;0,INT(BP7*BR7),0)</f>
        <v>0</v>
      </c>
      <c r="BT7" s="162" t="s">
        <v>653</v>
      </c>
    </row>
    <row r="8" spans="1:72">
      <c r="B8" s="662"/>
      <c r="C8" s="664"/>
      <c r="D8" s="38"/>
      <c r="E8" s="31"/>
      <c r="F8" s="13"/>
      <c r="G8" s="35"/>
      <c r="H8" s="163"/>
      <c r="J8" s="662"/>
      <c r="K8" s="664"/>
      <c r="L8" s="38"/>
      <c r="M8" s="31"/>
      <c r="N8" s="13"/>
      <c r="O8" s="35"/>
      <c r="P8" s="163"/>
      <c r="R8" s="662"/>
      <c r="S8" s="664"/>
      <c r="T8" s="38"/>
      <c r="U8" s="31"/>
      <c r="V8" s="13"/>
      <c r="W8" s="35">
        <f t="shared" si="0"/>
        <v>0</v>
      </c>
      <c r="X8" s="163"/>
      <c r="Z8" s="662"/>
      <c r="AA8" s="664"/>
      <c r="AB8" s="41">
        <f>+'集計(機械)単独'!C48</f>
        <v>0</v>
      </c>
      <c r="AC8" s="31"/>
      <c r="AD8" s="13"/>
      <c r="AE8" s="35">
        <f>+IF(AD8&gt;0,INT(AB8*AD8),0)</f>
        <v>0</v>
      </c>
      <c r="AF8" s="163"/>
      <c r="AH8" s="662"/>
      <c r="AI8" s="664"/>
      <c r="AJ8" s="41"/>
      <c r="AK8" s="31"/>
      <c r="AL8" s="13"/>
      <c r="AM8" s="35">
        <f>+IF(AL8&gt;0,INT(AJ8*AL8),0)</f>
        <v>0</v>
      </c>
      <c r="AN8" s="163"/>
      <c r="AP8" s="662"/>
      <c r="AQ8" s="664"/>
      <c r="AR8" s="38"/>
      <c r="AS8" s="31"/>
      <c r="AT8" s="13"/>
      <c r="AU8" s="35">
        <f t="shared" si="1"/>
        <v>0</v>
      </c>
      <c r="AV8" s="44"/>
      <c r="AX8" s="662"/>
      <c r="AY8" s="664"/>
      <c r="AZ8" s="38"/>
      <c r="BA8" s="31"/>
      <c r="BB8" s="13"/>
      <c r="BC8" s="35">
        <f>+IF(BB8&gt;0,INT(AZ8*BB8),0)</f>
        <v>0</v>
      </c>
      <c r="BD8" s="44"/>
      <c r="BF8" s="662"/>
      <c r="BG8" s="664"/>
      <c r="BH8" s="38"/>
      <c r="BI8" s="31"/>
      <c r="BJ8" s="13"/>
      <c r="BK8" s="35">
        <f>+IF(BJ8&gt;0,INT(BH8*BJ8),0)</f>
        <v>0</v>
      </c>
      <c r="BL8" s="44"/>
      <c r="BN8" s="662"/>
      <c r="BO8" s="664"/>
      <c r="BP8" s="38"/>
      <c r="BQ8" s="31"/>
      <c r="BR8" s="13"/>
      <c r="BS8" s="35">
        <f>+IF(BR8&gt;0,INT(BP8*BR8),0)</f>
        <v>0</v>
      </c>
      <c r="BT8" s="163"/>
    </row>
    <row r="9" spans="1:72" ht="18.75" customHeight="1">
      <c r="B9" s="661"/>
      <c r="C9" s="668"/>
      <c r="D9" s="39"/>
      <c r="E9" s="32"/>
      <c r="F9" s="11"/>
      <c r="G9" s="23"/>
      <c r="H9" s="162"/>
      <c r="J9" s="667"/>
      <c r="K9" s="668"/>
      <c r="L9" s="39"/>
      <c r="M9" s="32"/>
      <c r="N9" s="11"/>
      <c r="O9" s="23"/>
      <c r="P9" s="162"/>
      <c r="R9" s="667" t="s">
        <v>758</v>
      </c>
      <c r="S9" s="668" t="s">
        <v>759</v>
      </c>
      <c r="T9" s="39"/>
      <c r="U9" s="32" t="s">
        <v>22</v>
      </c>
      <c r="V9" s="11">
        <v>108000</v>
      </c>
      <c r="W9" s="23">
        <f>+IF(V9&gt;0,INT(T9*V9),0)</f>
        <v>0</v>
      </c>
      <c r="X9" s="162" t="s">
        <v>645</v>
      </c>
      <c r="Z9" s="661" t="s">
        <v>26</v>
      </c>
      <c r="AA9" s="668"/>
      <c r="AB9" s="42">
        <f>+'集計(機械)単独'!E47</f>
        <v>0</v>
      </c>
      <c r="AC9" s="32" t="s">
        <v>27</v>
      </c>
      <c r="AD9" s="11">
        <v>24500</v>
      </c>
      <c r="AE9" s="23">
        <f t="shared" ref="AE9:AE46" si="2">+IF(AD9&gt;0,INT(AB9*AD9),0)</f>
        <v>0</v>
      </c>
      <c r="AF9" s="162" t="s">
        <v>28</v>
      </c>
      <c r="AH9" s="661"/>
      <c r="AI9" s="668"/>
      <c r="AJ9" s="42"/>
      <c r="AK9" s="32"/>
      <c r="AL9" s="11"/>
      <c r="AM9" s="23">
        <f t="shared" ref="AM9:AM46" si="3">+IF(AL9&gt;0,INT(AJ9*AL9),0)</f>
        <v>0</v>
      </c>
      <c r="AN9" s="162"/>
      <c r="AP9" s="667" t="s">
        <v>764</v>
      </c>
      <c r="AQ9" s="668" t="s">
        <v>766</v>
      </c>
      <c r="AR9" s="39"/>
      <c r="AS9" s="32" t="s">
        <v>20</v>
      </c>
      <c r="AT9" s="11">
        <v>28900</v>
      </c>
      <c r="AU9" s="23">
        <f t="shared" ref="AU9:AU10" si="4">+IF(AT9&gt;0,INT(AR9*AT9),0)</f>
        <v>0</v>
      </c>
      <c r="AV9" s="162" t="s">
        <v>835</v>
      </c>
      <c r="AX9" s="661"/>
      <c r="AY9" s="668"/>
      <c r="AZ9" s="39"/>
      <c r="BA9" s="32"/>
      <c r="BB9" s="11"/>
      <c r="BC9" s="23">
        <f t="shared" ref="BC9:BC46" si="5">+IF(BB9&gt;0,INT(AZ9*BB9),0)</f>
        <v>0</v>
      </c>
      <c r="BD9" s="43"/>
      <c r="BF9" s="661"/>
      <c r="BG9" s="668"/>
      <c r="BH9" s="39"/>
      <c r="BI9" s="32"/>
      <c r="BJ9" s="11"/>
      <c r="BK9" s="23">
        <f t="shared" ref="BK9:BK46" si="6">+IF(BJ9&gt;0,INT(BH9*BJ9),0)</f>
        <v>0</v>
      </c>
      <c r="BL9" s="43"/>
      <c r="BN9" s="661"/>
      <c r="BO9" s="663"/>
      <c r="BP9" s="39"/>
      <c r="BQ9" s="32"/>
      <c r="BR9" s="11"/>
      <c r="BS9" s="23"/>
      <c r="BT9" s="162"/>
    </row>
    <row r="10" spans="1:72">
      <c r="B10" s="662"/>
      <c r="C10" s="664"/>
      <c r="D10" s="38"/>
      <c r="E10" s="31"/>
      <c r="F10" s="13"/>
      <c r="G10" s="35"/>
      <c r="H10" s="163"/>
      <c r="J10" s="662"/>
      <c r="K10" s="664"/>
      <c r="L10" s="38"/>
      <c r="M10" s="31"/>
      <c r="N10" s="13"/>
      <c r="O10" s="35"/>
      <c r="P10" s="163"/>
      <c r="R10" s="662"/>
      <c r="S10" s="664"/>
      <c r="T10" s="38"/>
      <c r="U10" s="31"/>
      <c r="V10" s="13"/>
      <c r="W10" s="35">
        <f t="shared" ref="W10" si="7">+IF(V10&gt;0,INT(T10*V10),0)</f>
        <v>0</v>
      </c>
      <c r="X10" s="163"/>
      <c r="Z10" s="662"/>
      <c r="AA10" s="664"/>
      <c r="AB10" s="41">
        <f>+'集計(機械)単独'!E48</f>
        <v>0</v>
      </c>
      <c r="AC10" s="31"/>
      <c r="AD10" s="13"/>
      <c r="AE10" s="35">
        <f t="shared" si="2"/>
        <v>0</v>
      </c>
      <c r="AF10" s="163"/>
      <c r="AH10" s="662"/>
      <c r="AI10" s="664"/>
      <c r="AJ10" s="41"/>
      <c r="AK10" s="31"/>
      <c r="AL10" s="13"/>
      <c r="AM10" s="35">
        <f t="shared" si="3"/>
        <v>0</v>
      </c>
      <c r="AN10" s="163"/>
      <c r="AP10" s="662"/>
      <c r="AQ10" s="664"/>
      <c r="AR10" s="38"/>
      <c r="AS10" s="31"/>
      <c r="AT10" s="13"/>
      <c r="AU10" s="35">
        <f t="shared" si="4"/>
        <v>0</v>
      </c>
      <c r="AV10" s="44"/>
      <c r="AX10" s="662"/>
      <c r="AY10" s="664"/>
      <c r="AZ10" s="38"/>
      <c r="BA10" s="31"/>
      <c r="BB10" s="13"/>
      <c r="BC10" s="35">
        <f t="shared" si="5"/>
        <v>0</v>
      </c>
      <c r="BD10" s="44"/>
      <c r="BF10" s="662"/>
      <c r="BG10" s="664"/>
      <c r="BH10" s="38"/>
      <c r="BI10" s="31"/>
      <c r="BJ10" s="13"/>
      <c r="BK10" s="35">
        <f t="shared" si="6"/>
        <v>0</v>
      </c>
      <c r="BL10" s="44"/>
      <c r="BN10" s="662"/>
      <c r="BO10" s="664"/>
      <c r="BP10" s="38"/>
      <c r="BQ10" s="31"/>
      <c r="BR10" s="13"/>
      <c r="BS10" s="35"/>
      <c r="BT10" s="163"/>
    </row>
    <row r="11" spans="1:72" ht="18.75" customHeight="1">
      <c r="B11" s="667"/>
      <c r="C11" s="668"/>
      <c r="D11" s="39"/>
      <c r="E11" s="32"/>
      <c r="F11" s="11"/>
      <c r="G11" s="23"/>
      <c r="H11" s="162"/>
      <c r="J11" s="667"/>
      <c r="K11" s="668"/>
      <c r="L11" s="39"/>
      <c r="M11" s="32"/>
      <c r="N11" s="11"/>
      <c r="O11" s="23"/>
      <c r="P11" s="162"/>
      <c r="R11" s="667"/>
      <c r="S11" s="668"/>
      <c r="T11" s="39"/>
      <c r="U11" s="32"/>
      <c r="V11" s="11"/>
      <c r="W11" s="23"/>
      <c r="X11" s="164"/>
      <c r="Z11" s="667"/>
      <c r="AA11" s="668"/>
      <c r="AB11" s="29"/>
      <c r="AC11" s="32"/>
      <c r="AD11" s="11"/>
      <c r="AE11" s="23">
        <f t="shared" si="2"/>
        <v>0</v>
      </c>
      <c r="AF11" s="164"/>
      <c r="AH11" s="667"/>
      <c r="AI11" s="668"/>
      <c r="AJ11" s="29"/>
      <c r="AK11" s="32"/>
      <c r="AL11" s="11"/>
      <c r="AM11" s="23">
        <f t="shared" si="3"/>
        <v>0</v>
      </c>
      <c r="AN11" s="164"/>
      <c r="AP11" s="661" t="s">
        <v>34</v>
      </c>
      <c r="AQ11" s="668" t="s">
        <v>766</v>
      </c>
      <c r="AR11" s="39"/>
      <c r="AS11" s="32" t="s">
        <v>35</v>
      </c>
      <c r="AT11" s="11">
        <v>1927</v>
      </c>
      <c r="AU11" s="23">
        <f>+IF(AT11&gt;0,INT(AR11*AT11),0)</f>
        <v>0</v>
      </c>
      <c r="AV11" s="43" t="s">
        <v>834</v>
      </c>
      <c r="AX11" s="667"/>
      <c r="AY11" s="668"/>
      <c r="AZ11" s="39"/>
      <c r="BA11" s="32"/>
      <c r="BB11" s="11"/>
      <c r="BC11" s="23">
        <f t="shared" si="5"/>
        <v>0</v>
      </c>
      <c r="BD11" s="45"/>
      <c r="BF11" s="667"/>
      <c r="BG11" s="668"/>
      <c r="BH11" s="39"/>
      <c r="BI11" s="32"/>
      <c r="BJ11" s="11"/>
      <c r="BK11" s="23">
        <f t="shared" si="6"/>
        <v>0</v>
      </c>
      <c r="BL11" s="45"/>
      <c r="BN11" s="667" t="s">
        <v>655</v>
      </c>
      <c r="BO11" s="668" t="s">
        <v>672</v>
      </c>
      <c r="BP11" s="39"/>
      <c r="BQ11" s="32" t="s">
        <v>41</v>
      </c>
      <c r="BR11" s="11">
        <v>5730</v>
      </c>
      <c r="BS11" s="23">
        <f t="shared" ref="BS11:BS42" si="8">+IF(BR11&gt;0,INT(BP11*BR11),0)</f>
        <v>0</v>
      </c>
      <c r="BT11" s="164" t="s">
        <v>849</v>
      </c>
    </row>
    <row r="12" spans="1:72">
      <c r="B12" s="662"/>
      <c r="C12" s="664"/>
      <c r="D12" s="38"/>
      <c r="E12" s="31"/>
      <c r="F12" s="13"/>
      <c r="G12" s="35"/>
      <c r="H12" s="163"/>
      <c r="J12" s="662"/>
      <c r="K12" s="664"/>
      <c r="L12" s="38"/>
      <c r="M12" s="31"/>
      <c r="N12" s="13"/>
      <c r="O12" s="35"/>
      <c r="P12" s="163"/>
      <c r="R12" s="662"/>
      <c r="S12" s="664"/>
      <c r="T12" s="38"/>
      <c r="U12" s="31"/>
      <c r="V12" s="13"/>
      <c r="W12" s="35"/>
      <c r="X12" s="163"/>
      <c r="Z12" s="662"/>
      <c r="AA12" s="664"/>
      <c r="AB12" s="28"/>
      <c r="AC12" s="31"/>
      <c r="AD12" s="13"/>
      <c r="AE12" s="35">
        <f t="shared" si="2"/>
        <v>0</v>
      </c>
      <c r="AF12" s="163"/>
      <c r="AH12" s="662"/>
      <c r="AI12" s="664"/>
      <c r="AJ12" s="28"/>
      <c r="AK12" s="31"/>
      <c r="AL12" s="13"/>
      <c r="AM12" s="35">
        <f t="shared" si="3"/>
        <v>0</v>
      </c>
      <c r="AN12" s="163"/>
      <c r="AP12" s="662"/>
      <c r="AQ12" s="664"/>
      <c r="AR12" s="38"/>
      <c r="AS12" s="31"/>
      <c r="AT12" s="13"/>
      <c r="AU12" s="35">
        <f>+IF(AT12&gt;0,INT(AR12*AT12),0)</f>
        <v>0</v>
      </c>
      <c r="AV12" s="44"/>
      <c r="AX12" s="662"/>
      <c r="AY12" s="664"/>
      <c r="AZ12" s="38"/>
      <c r="BA12" s="31"/>
      <c r="BB12" s="13"/>
      <c r="BC12" s="35">
        <f t="shared" si="5"/>
        <v>0</v>
      </c>
      <c r="BD12" s="44"/>
      <c r="BF12" s="662"/>
      <c r="BG12" s="664"/>
      <c r="BH12" s="38"/>
      <c r="BI12" s="31"/>
      <c r="BJ12" s="13"/>
      <c r="BK12" s="35">
        <f t="shared" si="6"/>
        <v>0</v>
      </c>
      <c r="BL12" s="44"/>
      <c r="BN12" s="662"/>
      <c r="BO12" s="664"/>
      <c r="BP12" s="38"/>
      <c r="BQ12" s="31"/>
      <c r="BR12" s="13"/>
      <c r="BS12" s="35">
        <f t="shared" si="8"/>
        <v>0</v>
      </c>
      <c r="BT12" s="163"/>
    </row>
    <row r="13" spans="1:72" ht="18.75" customHeight="1">
      <c r="B13" s="667"/>
      <c r="C13" s="668"/>
      <c r="D13" s="39"/>
      <c r="E13" s="32"/>
      <c r="F13" s="11"/>
      <c r="G13" s="23"/>
      <c r="H13" s="164"/>
      <c r="J13" s="667"/>
      <c r="K13" s="668"/>
      <c r="L13" s="39"/>
      <c r="M13" s="32"/>
      <c r="N13" s="11"/>
      <c r="O13" s="23"/>
      <c r="P13" s="162"/>
      <c r="R13" s="667"/>
      <c r="S13" s="668"/>
      <c r="T13" s="39"/>
      <c r="U13" s="32"/>
      <c r="V13" s="11"/>
      <c r="W13" s="23">
        <f t="shared" ref="W13:W46" si="9">+IF(V13&gt;0,INT(T13*V13),0)</f>
        <v>0</v>
      </c>
      <c r="X13" s="164"/>
      <c r="Z13" s="667"/>
      <c r="AA13" s="668"/>
      <c r="AB13" s="29"/>
      <c r="AC13" s="32"/>
      <c r="AD13" s="11"/>
      <c r="AE13" s="23">
        <f t="shared" si="2"/>
        <v>0</v>
      </c>
      <c r="AF13" s="164"/>
      <c r="AH13" s="667"/>
      <c r="AI13" s="668"/>
      <c r="AJ13" s="29"/>
      <c r="AK13" s="32"/>
      <c r="AL13" s="11"/>
      <c r="AM13" s="23">
        <f t="shared" si="3"/>
        <v>0</v>
      </c>
      <c r="AN13" s="164"/>
      <c r="AP13" s="661"/>
      <c r="AQ13" s="668"/>
      <c r="AR13" s="39"/>
      <c r="AS13" s="32"/>
      <c r="AT13" s="11"/>
      <c r="AU13" s="23"/>
      <c r="AV13" s="43"/>
      <c r="AX13" s="667"/>
      <c r="AY13" s="668"/>
      <c r="AZ13" s="39"/>
      <c r="BA13" s="32"/>
      <c r="BB13" s="11"/>
      <c r="BC13" s="23">
        <f t="shared" si="5"/>
        <v>0</v>
      </c>
      <c r="BD13" s="45"/>
      <c r="BF13" s="667"/>
      <c r="BG13" s="668"/>
      <c r="BH13" s="39"/>
      <c r="BI13" s="32"/>
      <c r="BJ13" s="11"/>
      <c r="BK13" s="23">
        <f t="shared" si="6"/>
        <v>0</v>
      </c>
      <c r="BL13" s="45"/>
      <c r="BN13" s="661" t="s">
        <v>657</v>
      </c>
      <c r="BO13" s="684" t="s">
        <v>658</v>
      </c>
      <c r="BP13" s="39"/>
      <c r="BQ13" s="32" t="s">
        <v>41</v>
      </c>
      <c r="BR13" s="11">
        <v>3312</v>
      </c>
      <c r="BS13" s="23">
        <f t="shared" si="8"/>
        <v>0</v>
      </c>
      <c r="BT13" s="164" t="s">
        <v>659</v>
      </c>
    </row>
    <row r="14" spans="1:72">
      <c r="B14" s="662"/>
      <c r="C14" s="664"/>
      <c r="D14" s="38"/>
      <c r="E14" s="31"/>
      <c r="F14" s="13"/>
      <c r="G14" s="35"/>
      <c r="H14" s="163"/>
      <c r="J14" s="662"/>
      <c r="K14" s="664"/>
      <c r="L14" s="38"/>
      <c r="M14" s="31"/>
      <c r="N14" s="13"/>
      <c r="O14" s="35"/>
      <c r="P14" s="163"/>
      <c r="R14" s="662"/>
      <c r="S14" s="664"/>
      <c r="T14" s="38"/>
      <c r="U14" s="31"/>
      <c r="V14" s="13"/>
      <c r="W14" s="35">
        <f t="shared" si="9"/>
        <v>0</v>
      </c>
      <c r="X14" s="163"/>
      <c r="Z14" s="662"/>
      <c r="AA14" s="664"/>
      <c r="AB14" s="28"/>
      <c r="AC14" s="31"/>
      <c r="AD14" s="13"/>
      <c r="AE14" s="35">
        <f t="shared" si="2"/>
        <v>0</v>
      </c>
      <c r="AF14" s="163"/>
      <c r="AH14" s="662"/>
      <c r="AI14" s="664"/>
      <c r="AJ14" s="28"/>
      <c r="AK14" s="31"/>
      <c r="AL14" s="13"/>
      <c r="AM14" s="35">
        <f t="shared" si="3"/>
        <v>0</v>
      </c>
      <c r="AN14" s="163"/>
      <c r="AP14" s="662"/>
      <c r="AQ14" s="664"/>
      <c r="AR14" s="38"/>
      <c r="AS14" s="31"/>
      <c r="AT14" s="13"/>
      <c r="AU14" s="35"/>
      <c r="AV14" s="44"/>
      <c r="AX14" s="662"/>
      <c r="AY14" s="664"/>
      <c r="AZ14" s="38"/>
      <c r="BA14" s="31"/>
      <c r="BB14" s="13"/>
      <c r="BC14" s="35">
        <f t="shared" si="5"/>
        <v>0</v>
      </c>
      <c r="BD14" s="44"/>
      <c r="BF14" s="662"/>
      <c r="BG14" s="664"/>
      <c r="BH14" s="38"/>
      <c r="BI14" s="31"/>
      <c r="BJ14" s="13"/>
      <c r="BK14" s="35">
        <f t="shared" si="6"/>
        <v>0</v>
      </c>
      <c r="BL14" s="44"/>
      <c r="BN14" s="662"/>
      <c r="BO14" s="686"/>
      <c r="BP14" s="38"/>
      <c r="BQ14" s="31"/>
      <c r="BR14" s="13"/>
      <c r="BS14" s="35">
        <f t="shared" si="8"/>
        <v>0</v>
      </c>
      <c r="BT14" s="163"/>
    </row>
    <row r="15" spans="1:72" ht="18.75" customHeight="1">
      <c r="B15" s="667"/>
      <c r="C15" s="668"/>
      <c r="D15" s="39"/>
      <c r="E15" s="32"/>
      <c r="F15" s="11"/>
      <c r="G15" s="23"/>
      <c r="H15" s="164"/>
      <c r="J15" s="667"/>
      <c r="K15" s="668"/>
      <c r="L15" s="39"/>
      <c r="M15" s="32"/>
      <c r="N15" s="11"/>
      <c r="O15" s="23">
        <f t="shared" ref="O15:O46" si="10">+IF(N15&gt;0,INT(L15*N15),0)</f>
        <v>0</v>
      </c>
      <c r="P15" s="164"/>
      <c r="R15" s="667"/>
      <c r="S15" s="668"/>
      <c r="T15" s="39"/>
      <c r="U15" s="32"/>
      <c r="V15" s="11"/>
      <c r="W15" s="23">
        <f t="shared" si="9"/>
        <v>0</v>
      </c>
      <c r="X15" s="164"/>
      <c r="Z15" s="667"/>
      <c r="AA15" s="668"/>
      <c r="AB15" s="29"/>
      <c r="AC15" s="32"/>
      <c r="AD15" s="11"/>
      <c r="AE15" s="23">
        <f t="shared" si="2"/>
        <v>0</v>
      </c>
      <c r="AF15" s="164"/>
      <c r="AH15" s="667"/>
      <c r="AI15" s="668"/>
      <c r="AJ15" s="29"/>
      <c r="AK15" s="32"/>
      <c r="AL15" s="11"/>
      <c r="AM15" s="23">
        <f t="shared" si="3"/>
        <v>0</v>
      </c>
      <c r="AN15" s="164"/>
      <c r="AP15" s="667"/>
      <c r="AQ15" s="668"/>
      <c r="AR15" s="39"/>
      <c r="AS15" s="32"/>
      <c r="AT15" s="11"/>
      <c r="AU15" s="23"/>
      <c r="AV15" s="164"/>
      <c r="AX15" s="667"/>
      <c r="AY15" s="668"/>
      <c r="AZ15" s="39"/>
      <c r="BA15" s="32"/>
      <c r="BB15" s="11"/>
      <c r="BC15" s="23">
        <f t="shared" si="5"/>
        <v>0</v>
      </c>
      <c r="BD15" s="45"/>
      <c r="BF15" s="667"/>
      <c r="BG15" s="668"/>
      <c r="BH15" s="39"/>
      <c r="BI15" s="32"/>
      <c r="BJ15" s="11"/>
      <c r="BK15" s="23">
        <f t="shared" si="6"/>
        <v>0</v>
      </c>
      <c r="BL15" s="45"/>
      <c r="BN15" s="661" t="s">
        <v>657</v>
      </c>
      <c r="BO15" s="684" t="s">
        <v>908</v>
      </c>
      <c r="BP15" s="39"/>
      <c r="BQ15" s="32" t="s">
        <v>41</v>
      </c>
      <c r="BR15" s="11">
        <v>3644</v>
      </c>
      <c r="BS15" s="23">
        <f t="shared" si="8"/>
        <v>0</v>
      </c>
      <c r="BT15" s="164" t="s">
        <v>660</v>
      </c>
    </row>
    <row r="16" spans="1:72">
      <c r="B16" s="662"/>
      <c r="C16" s="664"/>
      <c r="D16" s="38"/>
      <c r="E16" s="31"/>
      <c r="F16" s="13"/>
      <c r="G16" s="35"/>
      <c r="H16" s="163"/>
      <c r="J16" s="662"/>
      <c r="K16" s="664"/>
      <c r="L16" s="38"/>
      <c r="M16" s="31"/>
      <c r="N16" s="13"/>
      <c r="O16" s="35">
        <f t="shared" si="10"/>
        <v>0</v>
      </c>
      <c r="P16" s="163"/>
      <c r="R16" s="662"/>
      <c r="S16" s="664"/>
      <c r="T16" s="38"/>
      <c r="U16" s="31"/>
      <c r="V16" s="13"/>
      <c r="W16" s="35">
        <f t="shared" si="9"/>
        <v>0</v>
      </c>
      <c r="X16" s="163"/>
      <c r="Z16" s="662"/>
      <c r="AA16" s="664"/>
      <c r="AB16" s="28"/>
      <c r="AC16" s="31"/>
      <c r="AD16" s="13"/>
      <c r="AE16" s="35">
        <f t="shared" si="2"/>
        <v>0</v>
      </c>
      <c r="AF16" s="163"/>
      <c r="AH16" s="662"/>
      <c r="AI16" s="664"/>
      <c r="AJ16" s="28"/>
      <c r="AK16" s="31"/>
      <c r="AL16" s="13"/>
      <c r="AM16" s="35">
        <f t="shared" si="3"/>
        <v>0</v>
      </c>
      <c r="AN16" s="163"/>
      <c r="AP16" s="662"/>
      <c r="AQ16" s="664"/>
      <c r="AR16" s="38"/>
      <c r="AS16" s="31"/>
      <c r="AT16" s="13"/>
      <c r="AU16" s="35"/>
      <c r="AV16" s="44"/>
      <c r="AX16" s="662"/>
      <c r="AY16" s="664"/>
      <c r="AZ16" s="38"/>
      <c r="BA16" s="31"/>
      <c r="BB16" s="13"/>
      <c r="BC16" s="35">
        <f t="shared" si="5"/>
        <v>0</v>
      </c>
      <c r="BD16" s="44"/>
      <c r="BF16" s="662"/>
      <c r="BG16" s="664"/>
      <c r="BH16" s="38"/>
      <c r="BI16" s="31"/>
      <c r="BJ16" s="13"/>
      <c r="BK16" s="35">
        <f t="shared" si="6"/>
        <v>0</v>
      </c>
      <c r="BL16" s="44"/>
      <c r="BN16" s="662"/>
      <c r="BO16" s="685"/>
      <c r="BP16" s="38"/>
      <c r="BQ16" s="31"/>
      <c r="BR16" s="13"/>
      <c r="BS16" s="35">
        <f t="shared" si="8"/>
        <v>0</v>
      </c>
      <c r="BT16" s="163"/>
    </row>
    <row r="17" spans="2:72">
      <c r="B17" s="667"/>
      <c r="C17" s="668"/>
      <c r="D17" s="39"/>
      <c r="E17" s="32"/>
      <c r="F17" s="11"/>
      <c r="G17" s="23"/>
      <c r="H17" s="162"/>
      <c r="J17" s="661"/>
      <c r="K17" s="663"/>
      <c r="L17" s="39"/>
      <c r="M17" s="32"/>
      <c r="N17" s="11"/>
      <c r="O17" s="23">
        <f t="shared" si="10"/>
        <v>0</v>
      </c>
      <c r="P17" s="164"/>
      <c r="R17" s="661"/>
      <c r="S17" s="663"/>
      <c r="T17" s="39"/>
      <c r="U17" s="32"/>
      <c r="V17" s="11"/>
      <c r="W17" s="23">
        <f t="shared" si="9"/>
        <v>0</v>
      </c>
      <c r="X17" s="164"/>
      <c r="Z17" s="661"/>
      <c r="AA17" s="663"/>
      <c r="AB17" s="10"/>
      <c r="AC17" s="32"/>
      <c r="AD17" s="11"/>
      <c r="AE17" s="23">
        <f t="shared" si="2"/>
        <v>0</v>
      </c>
      <c r="AF17" s="164"/>
      <c r="AH17" s="661"/>
      <c r="AI17" s="663"/>
      <c r="AJ17" s="10"/>
      <c r="AK17" s="32"/>
      <c r="AL17" s="11"/>
      <c r="AM17" s="23">
        <f t="shared" si="3"/>
        <v>0</v>
      </c>
      <c r="AN17" s="164"/>
      <c r="AP17" s="661"/>
      <c r="AQ17" s="663"/>
      <c r="AR17" s="39"/>
      <c r="AS17" s="32"/>
      <c r="AT17" s="11"/>
      <c r="AU17" s="23"/>
      <c r="AV17" s="45"/>
      <c r="AX17" s="661"/>
      <c r="AY17" s="663"/>
      <c r="AZ17" s="39"/>
      <c r="BA17" s="32"/>
      <c r="BB17" s="11"/>
      <c r="BC17" s="23">
        <f t="shared" si="5"/>
        <v>0</v>
      </c>
      <c r="BD17" s="45"/>
      <c r="BF17" s="661"/>
      <c r="BG17" s="663"/>
      <c r="BH17" s="39"/>
      <c r="BI17" s="32"/>
      <c r="BJ17" s="11"/>
      <c r="BK17" s="23">
        <f t="shared" si="6"/>
        <v>0</v>
      </c>
      <c r="BL17" s="45"/>
      <c r="BN17" s="661" t="s">
        <v>635</v>
      </c>
      <c r="BO17" s="663" t="s">
        <v>636</v>
      </c>
      <c r="BP17" s="39"/>
      <c r="BQ17" s="32" t="s">
        <v>41</v>
      </c>
      <c r="BR17" s="11">
        <v>2000</v>
      </c>
      <c r="BS17" s="23">
        <f t="shared" si="8"/>
        <v>0</v>
      </c>
      <c r="BT17" s="164"/>
    </row>
    <row r="18" spans="2:72">
      <c r="B18" s="662"/>
      <c r="C18" s="664"/>
      <c r="D18" s="38"/>
      <c r="E18" s="31"/>
      <c r="F18" s="13"/>
      <c r="G18" s="35"/>
      <c r="H18" s="163"/>
      <c r="J18" s="662"/>
      <c r="K18" s="664"/>
      <c r="L18" s="38"/>
      <c r="M18" s="31"/>
      <c r="N18" s="13"/>
      <c r="O18" s="35">
        <f t="shared" si="10"/>
        <v>0</v>
      </c>
      <c r="P18" s="163"/>
      <c r="R18" s="662"/>
      <c r="S18" s="664"/>
      <c r="T18" s="38"/>
      <c r="U18" s="31"/>
      <c r="V18" s="13"/>
      <c r="W18" s="35">
        <f t="shared" si="9"/>
        <v>0</v>
      </c>
      <c r="X18" s="163"/>
      <c r="Z18" s="662"/>
      <c r="AA18" s="664"/>
      <c r="AB18" s="12"/>
      <c r="AC18" s="31"/>
      <c r="AD18" s="13"/>
      <c r="AE18" s="35">
        <f t="shared" si="2"/>
        <v>0</v>
      </c>
      <c r="AF18" s="163"/>
      <c r="AH18" s="662"/>
      <c r="AI18" s="664"/>
      <c r="AJ18" s="12"/>
      <c r="AK18" s="31"/>
      <c r="AL18" s="13"/>
      <c r="AM18" s="35">
        <f t="shared" si="3"/>
        <v>0</v>
      </c>
      <c r="AN18" s="163"/>
      <c r="AP18" s="662"/>
      <c r="AQ18" s="664"/>
      <c r="AR18" s="38"/>
      <c r="AS18" s="31"/>
      <c r="AT18" s="13"/>
      <c r="AU18" s="35"/>
      <c r="AV18" s="44"/>
      <c r="AX18" s="662"/>
      <c r="AY18" s="664"/>
      <c r="AZ18" s="38"/>
      <c r="BA18" s="31"/>
      <c r="BB18" s="13"/>
      <c r="BC18" s="35">
        <f t="shared" si="5"/>
        <v>0</v>
      </c>
      <c r="BD18" s="44"/>
      <c r="BF18" s="662"/>
      <c r="BG18" s="664"/>
      <c r="BH18" s="38"/>
      <c r="BI18" s="31"/>
      <c r="BJ18" s="13"/>
      <c r="BK18" s="35">
        <f t="shared" si="6"/>
        <v>0</v>
      </c>
      <c r="BL18" s="44"/>
      <c r="BN18" s="662"/>
      <c r="BO18" s="664"/>
      <c r="BP18" s="38"/>
      <c r="BQ18" s="31"/>
      <c r="BR18" s="13"/>
      <c r="BS18" s="35">
        <f t="shared" si="8"/>
        <v>0</v>
      </c>
      <c r="BT18" s="163"/>
    </row>
    <row r="19" spans="2:72" ht="18.75" customHeight="1">
      <c r="B19" s="661"/>
      <c r="C19" s="663"/>
      <c r="D19" s="39"/>
      <c r="E19" s="32"/>
      <c r="F19" s="11"/>
      <c r="G19" s="23"/>
      <c r="H19" s="164"/>
      <c r="J19" s="661"/>
      <c r="K19" s="663"/>
      <c r="L19" s="39"/>
      <c r="M19" s="32"/>
      <c r="N19" s="11"/>
      <c r="O19" s="23">
        <f t="shared" si="10"/>
        <v>0</v>
      </c>
      <c r="P19" s="164"/>
      <c r="R19" s="661"/>
      <c r="S19" s="663"/>
      <c r="T19" s="39"/>
      <c r="U19" s="32"/>
      <c r="V19" s="11"/>
      <c r="W19" s="23">
        <f t="shared" si="9"/>
        <v>0</v>
      </c>
      <c r="X19" s="164"/>
      <c r="Z19" s="661"/>
      <c r="AA19" s="663"/>
      <c r="AB19" s="10"/>
      <c r="AC19" s="32"/>
      <c r="AD19" s="11"/>
      <c r="AE19" s="23">
        <f t="shared" si="2"/>
        <v>0</v>
      </c>
      <c r="AF19" s="164"/>
      <c r="AH19" s="661"/>
      <c r="AI19" s="663"/>
      <c r="AJ19" s="10"/>
      <c r="AK19" s="32"/>
      <c r="AL19" s="11"/>
      <c r="AM19" s="23">
        <f t="shared" si="3"/>
        <v>0</v>
      </c>
      <c r="AN19" s="164"/>
      <c r="AP19" s="667"/>
      <c r="AQ19" s="668"/>
      <c r="AR19" s="39"/>
      <c r="AS19" s="32"/>
      <c r="AT19" s="11"/>
      <c r="AU19" s="23"/>
      <c r="AV19" s="45"/>
      <c r="AX19" s="667"/>
      <c r="AY19" s="668"/>
      <c r="AZ19" s="39"/>
      <c r="BA19" s="32"/>
      <c r="BB19" s="11"/>
      <c r="BC19" s="23">
        <f t="shared" si="5"/>
        <v>0</v>
      </c>
      <c r="BD19" s="45"/>
      <c r="BF19" s="667"/>
      <c r="BG19" s="668"/>
      <c r="BH19" s="39"/>
      <c r="BI19" s="32"/>
      <c r="BJ19" s="11"/>
      <c r="BK19" s="23">
        <f t="shared" si="6"/>
        <v>0</v>
      </c>
      <c r="BL19" s="45"/>
      <c r="BN19" s="667" t="s">
        <v>661</v>
      </c>
      <c r="BO19" s="668" t="s">
        <v>856</v>
      </c>
      <c r="BP19" s="39"/>
      <c r="BQ19" s="32" t="s">
        <v>41</v>
      </c>
      <c r="BR19" s="11">
        <v>2431</v>
      </c>
      <c r="BS19" s="23">
        <f t="shared" si="8"/>
        <v>0</v>
      </c>
      <c r="BT19" s="164" t="s">
        <v>656</v>
      </c>
    </row>
    <row r="20" spans="2:72">
      <c r="B20" s="662"/>
      <c r="C20" s="664"/>
      <c r="D20" s="38"/>
      <c r="E20" s="31"/>
      <c r="F20" s="13"/>
      <c r="G20" s="35"/>
      <c r="H20" s="163"/>
      <c r="J20" s="662"/>
      <c r="K20" s="664"/>
      <c r="L20" s="38"/>
      <c r="M20" s="31"/>
      <c r="N20" s="13"/>
      <c r="O20" s="35">
        <f t="shared" si="10"/>
        <v>0</v>
      </c>
      <c r="P20" s="163"/>
      <c r="R20" s="662"/>
      <c r="S20" s="664"/>
      <c r="T20" s="38"/>
      <c r="U20" s="31"/>
      <c r="V20" s="13"/>
      <c r="W20" s="35">
        <f t="shared" si="9"/>
        <v>0</v>
      </c>
      <c r="X20" s="163"/>
      <c r="Z20" s="662"/>
      <c r="AA20" s="664"/>
      <c r="AB20" s="12"/>
      <c r="AC20" s="31"/>
      <c r="AD20" s="13"/>
      <c r="AE20" s="35">
        <f t="shared" si="2"/>
        <v>0</v>
      </c>
      <c r="AF20" s="163"/>
      <c r="AH20" s="662"/>
      <c r="AI20" s="664"/>
      <c r="AJ20" s="12"/>
      <c r="AK20" s="31"/>
      <c r="AL20" s="13"/>
      <c r="AM20" s="35">
        <f t="shared" si="3"/>
        <v>0</v>
      </c>
      <c r="AN20" s="163"/>
      <c r="AP20" s="662"/>
      <c r="AQ20" s="664"/>
      <c r="AR20" s="38"/>
      <c r="AS20" s="31"/>
      <c r="AT20" s="13"/>
      <c r="AU20" s="35"/>
      <c r="AV20" s="44"/>
      <c r="AX20" s="662"/>
      <c r="AY20" s="664"/>
      <c r="AZ20" s="38"/>
      <c r="BA20" s="31"/>
      <c r="BB20" s="13"/>
      <c r="BC20" s="35">
        <f t="shared" si="5"/>
        <v>0</v>
      </c>
      <c r="BD20" s="44"/>
      <c r="BF20" s="662"/>
      <c r="BG20" s="664"/>
      <c r="BH20" s="38"/>
      <c r="BI20" s="31"/>
      <c r="BJ20" s="13"/>
      <c r="BK20" s="35">
        <f t="shared" si="6"/>
        <v>0</v>
      </c>
      <c r="BL20" s="44"/>
      <c r="BN20" s="662"/>
      <c r="BO20" s="664"/>
      <c r="BP20" s="38"/>
      <c r="BQ20" s="31"/>
      <c r="BR20" s="13"/>
      <c r="BS20" s="35">
        <f t="shared" si="8"/>
        <v>0</v>
      </c>
      <c r="BT20" s="163"/>
    </row>
    <row r="21" spans="2:72">
      <c r="B21" s="661"/>
      <c r="C21" s="663"/>
      <c r="D21" s="39"/>
      <c r="E21" s="32"/>
      <c r="F21" s="11"/>
      <c r="G21" s="23">
        <f t="shared" ref="G21:G46" si="11">+IF(F21&gt;0,INT(D21*F21),0)</f>
        <v>0</v>
      </c>
      <c r="H21" s="164"/>
      <c r="J21" s="661"/>
      <c r="K21" s="663"/>
      <c r="L21" s="39"/>
      <c r="M21" s="32"/>
      <c r="N21" s="11"/>
      <c r="O21" s="23">
        <f t="shared" si="10"/>
        <v>0</v>
      </c>
      <c r="P21" s="164"/>
      <c r="R21" s="661"/>
      <c r="S21" s="663"/>
      <c r="T21" s="39"/>
      <c r="U21" s="32"/>
      <c r="V21" s="11"/>
      <c r="W21" s="23">
        <f t="shared" si="9"/>
        <v>0</v>
      </c>
      <c r="X21" s="164"/>
      <c r="Z21" s="661"/>
      <c r="AA21" s="663"/>
      <c r="AB21" s="10"/>
      <c r="AC21" s="32"/>
      <c r="AD21" s="11"/>
      <c r="AE21" s="23">
        <f t="shared" si="2"/>
        <v>0</v>
      </c>
      <c r="AF21" s="164"/>
      <c r="AH21" s="661"/>
      <c r="AI21" s="663"/>
      <c r="AJ21" s="10"/>
      <c r="AK21" s="32"/>
      <c r="AL21" s="11"/>
      <c r="AM21" s="23">
        <f t="shared" si="3"/>
        <v>0</v>
      </c>
      <c r="AN21" s="164"/>
      <c r="AP21" s="661"/>
      <c r="AQ21" s="663"/>
      <c r="AR21" s="39"/>
      <c r="AS21" s="32"/>
      <c r="AT21" s="11"/>
      <c r="AU21" s="23">
        <f t="shared" ref="AU21:AU46" si="12">+IF(AT21&gt;0,INT(AR21*AT21),0)</f>
        <v>0</v>
      </c>
      <c r="AV21" s="45"/>
      <c r="AX21" s="661"/>
      <c r="AY21" s="663"/>
      <c r="AZ21" s="39"/>
      <c r="BA21" s="32"/>
      <c r="BB21" s="11"/>
      <c r="BC21" s="23">
        <f t="shared" si="5"/>
        <v>0</v>
      </c>
      <c r="BD21" s="45"/>
      <c r="BF21" s="661"/>
      <c r="BG21" s="663"/>
      <c r="BH21" s="39"/>
      <c r="BI21" s="32"/>
      <c r="BJ21" s="11"/>
      <c r="BK21" s="23">
        <f t="shared" si="6"/>
        <v>0</v>
      </c>
      <c r="BL21" s="45"/>
      <c r="BN21" s="661" t="s">
        <v>637</v>
      </c>
      <c r="BO21" s="668"/>
      <c r="BP21" s="39"/>
      <c r="BQ21" s="32" t="s">
        <v>41</v>
      </c>
      <c r="BR21" s="11">
        <v>2800</v>
      </c>
      <c r="BS21" s="23">
        <f t="shared" si="8"/>
        <v>0</v>
      </c>
      <c r="BT21" s="164"/>
    </row>
    <row r="22" spans="2:72">
      <c r="B22" s="662"/>
      <c r="C22" s="664"/>
      <c r="D22" s="38"/>
      <c r="E22" s="31"/>
      <c r="F22" s="13"/>
      <c r="G22" s="35">
        <f t="shared" si="11"/>
        <v>0</v>
      </c>
      <c r="H22" s="163"/>
      <c r="J22" s="662"/>
      <c r="K22" s="664"/>
      <c r="L22" s="38"/>
      <c r="M22" s="31"/>
      <c r="N22" s="13"/>
      <c r="O22" s="35">
        <f t="shared" si="10"/>
        <v>0</v>
      </c>
      <c r="P22" s="163"/>
      <c r="R22" s="662"/>
      <c r="S22" s="664"/>
      <c r="T22" s="38"/>
      <c r="U22" s="31"/>
      <c r="V22" s="13"/>
      <c r="W22" s="35">
        <f t="shared" si="9"/>
        <v>0</v>
      </c>
      <c r="X22" s="163"/>
      <c r="Z22" s="662"/>
      <c r="AA22" s="664"/>
      <c r="AB22" s="12"/>
      <c r="AC22" s="31"/>
      <c r="AD22" s="13"/>
      <c r="AE22" s="35">
        <f t="shared" si="2"/>
        <v>0</v>
      </c>
      <c r="AF22" s="163"/>
      <c r="AH22" s="662"/>
      <c r="AI22" s="664"/>
      <c r="AJ22" s="12"/>
      <c r="AK22" s="31"/>
      <c r="AL22" s="13"/>
      <c r="AM22" s="35">
        <f t="shared" si="3"/>
        <v>0</v>
      </c>
      <c r="AN22" s="163"/>
      <c r="AP22" s="662"/>
      <c r="AQ22" s="664"/>
      <c r="AR22" s="38"/>
      <c r="AS22" s="31"/>
      <c r="AT22" s="13"/>
      <c r="AU22" s="35">
        <f t="shared" si="12"/>
        <v>0</v>
      </c>
      <c r="AV22" s="44"/>
      <c r="AX22" s="662"/>
      <c r="AY22" s="664"/>
      <c r="AZ22" s="38"/>
      <c r="BA22" s="31"/>
      <c r="BB22" s="13"/>
      <c r="BC22" s="35">
        <f t="shared" si="5"/>
        <v>0</v>
      </c>
      <c r="BD22" s="44"/>
      <c r="BF22" s="662"/>
      <c r="BG22" s="664"/>
      <c r="BH22" s="38"/>
      <c r="BI22" s="31"/>
      <c r="BJ22" s="13"/>
      <c r="BK22" s="35">
        <f t="shared" si="6"/>
        <v>0</v>
      </c>
      <c r="BL22" s="44"/>
      <c r="BN22" s="662"/>
      <c r="BO22" s="664"/>
      <c r="BP22" s="38"/>
      <c r="BQ22" s="31"/>
      <c r="BR22" s="13"/>
      <c r="BS22" s="35">
        <f t="shared" si="8"/>
        <v>0</v>
      </c>
      <c r="BT22" s="163"/>
    </row>
    <row r="23" spans="2:72" ht="18.75" customHeight="1">
      <c r="B23" s="661"/>
      <c r="C23" s="663"/>
      <c r="D23" s="39"/>
      <c r="E23" s="32"/>
      <c r="F23" s="11"/>
      <c r="G23" s="23">
        <f t="shared" si="11"/>
        <v>0</v>
      </c>
      <c r="H23" s="164"/>
      <c r="J23" s="661"/>
      <c r="K23" s="663"/>
      <c r="L23" s="39"/>
      <c r="M23" s="32"/>
      <c r="N23" s="11"/>
      <c r="O23" s="23">
        <f t="shared" si="10"/>
        <v>0</v>
      </c>
      <c r="P23" s="164"/>
      <c r="R23" s="661"/>
      <c r="S23" s="663"/>
      <c r="T23" s="39"/>
      <c r="U23" s="32"/>
      <c r="V23" s="11"/>
      <c r="W23" s="23">
        <f t="shared" si="9"/>
        <v>0</v>
      </c>
      <c r="X23" s="164"/>
      <c r="Z23" s="661"/>
      <c r="AA23" s="663"/>
      <c r="AB23" s="10"/>
      <c r="AC23" s="32"/>
      <c r="AD23" s="11"/>
      <c r="AE23" s="23">
        <f t="shared" si="2"/>
        <v>0</v>
      </c>
      <c r="AF23" s="164"/>
      <c r="AH23" s="661"/>
      <c r="AI23" s="663"/>
      <c r="AJ23" s="10"/>
      <c r="AK23" s="32"/>
      <c r="AL23" s="11"/>
      <c r="AM23" s="23">
        <f t="shared" si="3"/>
        <v>0</v>
      </c>
      <c r="AN23" s="164"/>
      <c r="AP23" s="661"/>
      <c r="AQ23" s="663"/>
      <c r="AR23" s="39"/>
      <c r="AS23" s="32"/>
      <c r="AT23" s="11"/>
      <c r="AU23" s="23">
        <f t="shared" si="12"/>
        <v>0</v>
      </c>
      <c r="AV23" s="45"/>
      <c r="AX23" s="661"/>
      <c r="AY23" s="663"/>
      <c r="AZ23" s="39"/>
      <c r="BA23" s="32"/>
      <c r="BB23" s="11"/>
      <c r="BC23" s="23">
        <f t="shared" si="5"/>
        <v>0</v>
      </c>
      <c r="BD23" s="45"/>
      <c r="BF23" s="661"/>
      <c r="BG23" s="663"/>
      <c r="BH23" s="39"/>
      <c r="BI23" s="32"/>
      <c r="BJ23" s="11"/>
      <c r="BK23" s="23">
        <f t="shared" si="6"/>
        <v>0</v>
      </c>
      <c r="BL23" s="45"/>
      <c r="BN23" s="667" t="s">
        <v>285</v>
      </c>
      <c r="BO23" s="668"/>
      <c r="BP23" s="39"/>
      <c r="BQ23" s="32" t="s">
        <v>286</v>
      </c>
      <c r="BR23" s="11">
        <v>96</v>
      </c>
      <c r="BS23" s="23">
        <f t="shared" si="8"/>
        <v>0</v>
      </c>
      <c r="BT23" s="164" t="s">
        <v>662</v>
      </c>
    </row>
    <row r="24" spans="2:72">
      <c r="B24" s="662"/>
      <c r="C24" s="664"/>
      <c r="D24" s="38"/>
      <c r="E24" s="31"/>
      <c r="F24" s="13"/>
      <c r="G24" s="35">
        <f t="shared" si="11"/>
        <v>0</v>
      </c>
      <c r="H24" s="163"/>
      <c r="J24" s="662"/>
      <c r="K24" s="664"/>
      <c r="L24" s="38"/>
      <c r="M24" s="31"/>
      <c r="N24" s="13"/>
      <c r="O24" s="35">
        <f t="shared" si="10"/>
        <v>0</v>
      </c>
      <c r="P24" s="163"/>
      <c r="R24" s="662"/>
      <c r="S24" s="664"/>
      <c r="T24" s="38"/>
      <c r="U24" s="31"/>
      <c r="V24" s="13"/>
      <c r="W24" s="35">
        <f t="shared" si="9"/>
        <v>0</v>
      </c>
      <c r="X24" s="163"/>
      <c r="Z24" s="662"/>
      <c r="AA24" s="664"/>
      <c r="AB24" s="12"/>
      <c r="AC24" s="31"/>
      <c r="AD24" s="13"/>
      <c r="AE24" s="35">
        <f t="shared" si="2"/>
        <v>0</v>
      </c>
      <c r="AF24" s="163"/>
      <c r="AH24" s="662"/>
      <c r="AI24" s="664"/>
      <c r="AJ24" s="12"/>
      <c r="AK24" s="31"/>
      <c r="AL24" s="13"/>
      <c r="AM24" s="35">
        <f t="shared" si="3"/>
        <v>0</v>
      </c>
      <c r="AN24" s="163"/>
      <c r="AP24" s="662"/>
      <c r="AQ24" s="664"/>
      <c r="AR24" s="38"/>
      <c r="AS24" s="31"/>
      <c r="AT24" s="13"/>
      <c r="AU24" s="35">
        <f t="shared" si="12"/>
        <v>0</v>
      </c>
      <c r="AV24" s="44"/>
      <c r="AX24" s="662"/>
      <c r="AY24" s="664"/>
      <c r="AZ24" s="38"/>
      <c r="BA24" s="31"/>
      <c r="BB24" s="13"/>
      <c r="BC24" s="35">
        <f t="shared" si="5"/>
        <v>0</v>
      </c>
      <c r="BD24" s="44"/>
      <c r="BF24" s="662"/>
      <c r="BG24" s="664"/>
      <c r="BH24" s="38"/>
      <c r="BI24" s="31"/>
      <c r="BJ24" s="13"/>
      <c r="BK24" s="35">
        <f t="shared" si="6"/>
        <v>0</v>
      </c>
      <c r="BL24" s="44"/>
      <c r="BN24" s="662"/>
      <c r="BO24" s="664"/>
      <c r="BP24" s="38"/>
      <c r="BQ24" s="31"/>
      <c r="BR24" s="13"/>
      <c r="BS24" s="35">
        <f t="shared" si="8"/>
        <v>0</v>
      </c>
      <c r="BT24" s="163"/>
    </row>
    <row r="25" spans="2:72" ht="18.75" customHeight="1">
      <c r="B25" s="661"/>
      <c r="C25" s="663"/>
      <c r="D25" s="39"/>
      <c r="E25" s="32"/>
      <c r="F25" s="11"/>
      <c r="G25" s="23">
        <f t="shared" si="11"/>
        <v>0</v>
      </c>
      <c r="H25" s="164"/>
      <c r="J25" s="661"/>
      <c r="K25" s="663"/>
      <c r="L25" s="39"/>
      <c r="M25" s="32"/>
      <c r="N25" s="11"/>
      <c r="O25" s="23">
        <f t="shared" si="10"/>
        <v>0</v>
      </c>
      <c r="P25" s="164"/>
      <c r="R25" s="661"/>
      <c r="S25" s="663"/>
      <c r="T25" s="39"/>
      <c r="U25" s="32"/>
      <c r="V25" s="11"/>
      <c r="W25" s="23">
        <f t="shared" si="9"/>
        <v>0</v>
      </c>
      <c r="X25" s="164"/>
      <c r="Z25" s="661"/>
      <c r="AA25" s="663"/>
      <c r="AB25" s="10"/>
      <c r="AC25" s="32"/>
      <c r="AD25" s="11"/>
      <c r="AE25" s="23">
        <f t="shared" si="2"/>
        <v>0</v>
      </c>
      <c r="AF25" s="164"/>
      <c r="AH25" s="661"/>
      <c r="AI25" s="663"/>
      <c r="AJ25" s="10"/>
      <c r="AK25" s="32"/>
      <c r="AL25" s="11"/>
      <c r="AM25" s="23">
        <f t="shared" si="3"/>
        <v>0</v>
      </c>
      <c r="AN25" s="164"/>
      <c r="AP25" s="661"/>
      <c r="AQ25" s="663"/>
      <c r="AR25" s="39"/>
      <c r="AS25" s="32"/>
      <c r="AT25" s="11"/>
      <c r="AU25" s="23">
        <f t="shared" si="12"/>
        <v>0</v>
      </c>
      <c r="AV25" s="45"/>
      <c r="AX25" s="661"/>
      <c r="AY25" s="663"/>
      <c r="AZ25" s="39"/>
      <c r="BA25" s="32"/>
      <c r="BB25" s="11"/>
      <c r="BC25" s="23">
        <f t="shared" si="5"/>
        <v>0</v>
      </c>
      <c r="BD25" s="45"/>
      <c r="BF25" s="661"/>
      <c r="BG25" s="663"/>
      <c r="BH25" s="39"/>
      <c r="BI25" s="32"/>
      <c r="BJ25" s="11"/>
      <c r="BK25" s="23">
        <f t="shared" si="6"/>
        <v>0</v>
      </c>
      <c r="BL25" s="45"/>
      <c r="BN25" s="661" t="s">
        <v>350</v>
      </c>
      <c r="BO25" s="668" t="s">
        <v>638</v>
      </c>
      <c r="BP25" s="39"/>
      <c r="BQ25" s="32" t="s">
        <v>17</v>
      </c>
      <c r="BR25" s="29">
        <v>160</v>
      </c>
      <c r="BS25" s="23">
        <f t="shared" si="8"/>
        <v>0</v>
      </c>
      <c r="BT25" s="164"/>
    </row>
    <row r="26" spans="2:72">
      <c r="B26" s="662"/>
      <c r="C26" s="664"/>
      <c r="D26" s="38"/>
      <c r="E26" s="31"/>
      <c r="F26" s="13"/>
      <c r="G26" s="35">
        <f t="shared" si="11"/>
        <v>0</v>
      </c>
      <c r="H26" s="163"/>
      <c r="J26" s="662"/>
      <c r="K26" s="664"/>
      <c r="L26" s="38"/>
      <c r="M26" s="31"/>
      <c r="N26" s="13"/>
      <c r="O26" s="35">
        <f t="shared" si="10"/>
        <v>0</v>
      </c>
      <c r="P26" s="163"/>
      <c r="R26" s="662"/>
      <c r="S26" s="664"/>
      <c r="T26" s="38"/>
      <c r="U26" s="31"/>
      <c r="V26" s="13"/>
      <c r="W26" s="35">
        <f t="shared" si="9"/>
        <v>0</v>
      </c>
      <c r="X26" s="163"/>
      <c r="Z26" s="662"/>
      <c r="AA26" s="664"/>
      <c r="AB26" s="12"/>
      <c r="AC26" s="31"/>
      <c r="AD26" s="13"/>
      <c r="AE26" s="35">
        <f t="shared" si="2"/>
        <v>0</v>
      </c>
      <c r="AF26" s="163"/>
      <c r="AH26" s="662"/>
      <c r="AI26" s="664"/>
      <c r="AJ26" s="12"/>
      <c r="AK26" s="31"/>
      <c r="AL26" s="13"/>
      <c r="AM26" s="35">
        <f t="shared" si="3"/>
        <v>0</v>
      </c>
      <c r="AN26" s="163"/>
      <c r="AP26" s="662"/>
      <c r="AQ26" s="664"/>
      <c r="AR26" s="38"/>
      <c r="AS26" s="31"/>
      <c r="AT26" s="13"/>
      <c r="AU26" s="35">
        <f t="shared" si="12"/>
        <v>0</v>
      </c>
      <c r="AV26" s="44"/>
      <c r="AX26" s="662"/>
      <c r="AY26" s="664"/>
      <c r="AZ26" s="38"/>
      <c r="BA26" s="31"/>
      <c r="BB26" s="13"/>
      <c r="BC26" s="35">
        <f t="shared" si="5"/>
        <v>0</v>
      </c>
      <c r="BD26" s="44"/>
      <c r="BF26" s="662"/>
      <c r="BG26" s="664"/>
      <c r="BH26" s="38"/>
      <c r="BI26" s="31"/>
      <c r="BJ26" s="13"/>
      <c r="BK26" s="35">
        <f t="shared" si="6"/>
        <v>0</v>
      </c>
      <c r="BL26" s="44"/>
      <c r="BN26" s="662"/>
      <c r="BO26" s="664"/>
      <c r="BP26" s="38"/>
      <c r="BQ26" s="31"/>
      <c r="BR26" s="13"/>
      <c r="BS26" s="35">
        <f t="shared" si="8"/>
        <v>0</v>
      </c>
      <c r="BT26" s="163"/>
    </row>
    <row r="27" spans="2:72" ht="18.75" customHeight="1">
      <c r="B27" s="661"/>
      <c r="C27" s="663"/>
      <c r="D27" s="39"/>
      <c r="E27" s="32"/>
      <c r="F27" s="11"/>
      <c r="G27" s="23">
        <f t="shared" si="11"/>
        <v>0</v>
      </c>
      <c r="H27" s="164"/>
      <c r="J27" s="661"/>
      <c r="K27" s="663"/>
      <c r="L27" s="39"/>
      <c r="M27" s="32"/>
      <c r="N27" s="11"/>
      <c r="O27" s="23">
        <f t="shared" si="10"/>
        <v>0</v>
      </c>
      <c r="P27" s="164"/>
      <c r="R27" s="661"/>
      <c r="S27" s="663"/>
      <c r="T27" s="39"/>
      <c r="U27" s="32"/>
      <c r="V27" s="11"/>
      <c r="W27" s="23">
        <f t="shared" si="9"/>
        <v>0</v>
      </c>
      <c r="X27" s="164"/>
      <c r="Z27" s="661"/>
      <c r="AA27" s="663"/>
      <c r="AB27" s="10"/>
      <c r="AC27" s="32"/>
      <c r="AD27" s="11"/>
      <c r="AE27" s="23">
        <f t="shared" si="2"/>
        <v>0</v>
      </c>
      <c r="AF27" s="164"/>
      <c r="AH27" s="661"/>
      <c r="AI27" s="663"/>
      <c r="AJ27" s="10"/>
      <c r="AK27" s="32"/>
      <c r="AL27" s="11"/>
      <c r="AM27" s="23">
        <f t="shared" si="3"/>
        <v>0</v>
      </c>
      <c r="AN27" s="164"/>
      <c r="AP27" s="661"/>
      <c r="AQ27" s="663"/>
      <c r="AR27" s="39"/>
      <c r="AS27" s="32"/>
      <c r="AT27" s="11"/>
      <c r="AU27" s="23">
        <f t="shared" si="12"/>
        <v>0</v>
      </c>
      <c r="AV27" s="45"/>
      <c r="AX27" s="661"/>
      <c r="AY27" s="663"/>
      <c r="AZ27" s="39"/>
      <c r="BA27" s="32"/>
      <c r="BB27" s="11"/>
      <c r="BC27" s="23">
        <f t="shared" si="5"/>
        <v>0</v>
      </c>
      <c r="BD27" s="45"/>
      <c r="BF27" s="661"/>
      <c r="BG27" s="663"/>
      <c r="BH27" s="39"/>
      <c r="BI27" s="32"/>
      <c r="BJ27" s="11"/>
      <c r="BK27" s="23">
        <f t="shared" si="6"/>
        <v>0</v>
      </c>
      <c r="BL27" s="45"/>
      <c r="BN27" s="667"/>
      <c r="BO27" s="668"/>
      <c r="BP27" s="39"/>
      <c r="BQ27" s="32"/>
      <c r="BR27" s="11"/>
      <c r="BS27" s="23"/>
      <c r="BT27" s="164"/>
    </row>
    <row r="28" spans="2:72">
      <c r="B28" s="662"/>
      <c r="C28" s="664"/>
      <c r="D28" s="38"/>
      <c r="E28" s="31"/>
      <c r="F28" s="13"/>
      <c r="G28" s="35">
        <f t="shared" si="11"/>
        <v>0</v>
      </c>
      <c r="H28" s="163"/>
      <c r="J28" s="662"/>
      <c r="K28" s="664"/>
      <c r="L28" s="38"/>
      <c r="M28" s="31"/>
      <c r="N28" s="13"/>
      <c r="O28" s="35">
        <f t="shared" si="10"/>
        <v>0</v>
      </c>
      <c r="P28" s="163"/>
      <c r="R28" s="662"/>
      <c r="S28" s="664"/>
      <c r="T28" s="38"/>
      <c r="U28" s="31"/>
      <c r="V28" s="13"/>
      <c r="W28" s="35">
        <f t="shared" si="9"/>
        <v>0</v>
      </c>
      <c r="X28" s="163"/>
      <c r="Z28" s="662"/>
      <c r="AA28" s="664"/>
      <c r="AB28" s="12"/>
      <c r="AC28" s="31"/>
      <c r="AD28" s="13"/>
      <c r="AE28" s="35">
        <f t="shared" si="2"/>
        <v>0</v>
      </c>
      <c r="AF28" s="163"/>
      <c r="AH28" s="662"/>
      <c r="AI28" s="664"/>
      <c r="AJ28" s="12"/>
      <c r="AK28" s="31"/>
      <c r="AL28" s="13"/>
      <c r="AM28" s="35">
        <f t="shared" si="3"/>
        <v>0</v>
      </c>
      <c r="AN28" s="163"/>
      <c r="AP28" s="662"/>
      <c r="AQ28" s="664"/>
      <c r="AR28" s="38"/>
      <c r="AS28" s="31"/>
      <c r="AT28" s="13"/>
      <c r="AU28" s="35">
        <f t="shared" si="12"/>
        <v>0</v>
      </c>
      <c r="AV28" s="44"/>
      <c r="AX28" s="662"/>
      <c r="AY28" s="664"/>
      <c r="AZ28" s="38"/>
      <c r="BA28" s="31"/>
      <c r="BB28" s="13"/>
      <c r="BC28" s="35">
        <f t="shared" si="5"/>
        <v>0</v>
      </c>
      <c r="BD28" s="44"/>
      <c r="BF28" s="662"/>
      <c r="BG28" s="664"/>
      <c r="BH28" s="38"/>
      <c r="BI28" s="31"/>
      <c r="BJ28" s="13"/>
      <c r="BK28" s="35">
        <f t="shared" si="6"/>
        <v>0</v>
      </c>
      <c r="BL28" s="44"/>
      <c r="BN28" s="662"/>
      <c r="BO28" s="664"/>
      <c r="BP28" s="38"/>
      <c r="BQ28" s="31"/>
      <c r="BR28" s="13"/>
      <c r="BS28" s="35"/>
      <c r="BT28" s="163"/>
    </row>
    <row r="29" spans="2:72" ht="18.75" customHeight="1">
      <c r="B29" s="661"/>
      <c r="C29" s="663"/>
      <c r="D29" s="39"/>
      <c r="E29" s="32"/>
      <c r="F29" s="11"/>
      <c r="G29" s="23">
        <f t="shared" si="11"/>
        <v>0</v>
      </c>
      <c r="H29" s="164"/>
      <c r="J29" s="661"/>
      <c r="K29" s="663"/>
      <c r="L29" s="39"/>
      <c r="M29" s="32"/>
      <c r="N29" s="11"/>
      <c r="O29" s="23">
        <f t="shared" si="10"/>
        <v>0</v>
      </c>
      <c r="P29" s="164"/>
      <c r="R29" s="661"/>
      <c r="S29" s="663"/>
      <c r="T29" s="39"/>
      <c r="U29" s="32"/>
      <c r="V29" s="11"/>
      <c r="W29" s="23">
        <f t="shared" si="9"/>
        <v>0</v>
      </c>
      <c r="X29" s="164"/>
      <c r="Z29" s="661"/>
      <c r="AA29" s="663"/>
      <c r="AB29" s="10"/>
      <c r="AC29" s="32"/>
      <c r="AD29" s="11"/>
      <c r="AE29" s="23">
        <f t="shared" si="2"/>
        <v>0</v>
      </c>
      <c r="AF29" s="164"/>
      <c r="AH29" s="661"/>
      <c r="AI29" s="663"/>
      <c r="AJ29" s="10"/>
      <c r="AK29" s="32"/>
      <c r="AL29" s="11"/>
      <c r="AM29" s="23">
        <f t="shared" si="3"/>
        <v>0</v>
      </c>
      <c r="AN29" s="164"/>
      <c r="AP29" s="661"/>
      <c r="AQ29" s="663"/>
      <c r="AR29" s="39"/>
      <c r="AS29" s="32"/>
      <c r="AT29" s="11"/>
      <c r="AU29" s="23">
        <f t="shared" si="12"/>
        <v>0</v>
      </c>
      <c r="AV29" s="45"/>
      <c r="AX29" s="661"/>
      <c r="AY29" s="663"/>
      <c r="AZ29" s="39"/>
      <c r="BA29" s="32"/>
      <c r="BB29" s="11"/>
      <c r="BC29" s="23">
        <f t="shared" si="5"/>
        <v>0</v>
      </c>
      <c r="BD29" s="45"/>
      <c r="BF29" s="661"/>
      <c r="BG29" s="663"/>
      <c r="BH29" s="39"/>
      <c r="BI29" s="32"/>
      <c r="BJ29" s="11"/>
      <c r="BK29" s="23">
        <f t="shared" si="6"/>
        <v>0</v>
      </c>
      <c r="BL29" s="45"/>
      <c r="BN29" s="667" t="s">
        <v>667</v>
      </c>
      <c r="BO29" s="668" t="s">
        <v>666</v>
      </c>
      <c r="BP29" s="39"/>
      <c r="BQ29" s="32" t="s">
        <v>17</v>
      </c>
      <c r="BR29" s="29">
        <v>581.1</v>
      </c>
      <c r="BS29" s="23">
        <f t="shared" si="8"/>
        <v>0</v>
      </c>
      <c r="BT29" s="164" t="s">
        <v>663</v>
      </c>
    </row>
    <row r="30" spans="2:72">
      <c r="B30" s="662"/>
      <c r="C30" s="664"/>
      <c r="D30" s="38"/>
      <c r="E30" s="31"/>
      <c r="F30" s="13"/>
      <c r="G30" s="35">
        <f t="shared" si="11"/>
        <v>0</v>
      </c>
      <c r="H30" s="163"/>
      <c r="J30" s="662"/>
      <c r="K30" s="664"/>
      <c r="L30" s="38"/>
      <c r="M30" s="31"/>
      <c r="N30" s="13"/>
      <c r="O30" s="35">
        <f t="shared" si="10"/>
        <v>0</v>
      </c>
      <c r="P30" s="163"/>
      <c r="R30" s="662"/>
      <c r="S30" s="664"/>
      <c r="T30" s="38"/>
      <c r="U30" s="31"/>
      <c r="V30" s="13"/>
      <c r="W30" s="35">
        <f t="shared" si="9"/>
        <v>0</v>
      </c>
      <c r="X30" s="163"/>
      <c r="Z30" s="662"/>
      <c r="AA30" s="664"/>
      <c r="AB30" s="12"/>
      <c r="AC30" s="31"/>
      <c r="AD30" s="13"/>
      <c r="AE30" s="35">
        <f t="shared" si="2"/>
        <v>0</v>
      </c>
      <c r="AF30" s="163"/>
      <c r="AH30" s="662"/>
      <c r="AI30" s="664"/>
      <c r="AJ30" s="12"/>
      <c r="AK30" s="31"/>
      <c r="AL30" s="13"/>
      <c r="AM30" s="35">
        <f t="shared" si="3"/>
        <v>0</v>
      </c>
      <c r="AN30" s="163"/>
      <c r="AP30" s="662"/>
      <c r="AQ30" s="664"/>
      <c r="AR30" s="38"/>
      <c r="AS30" s="31"/>
      <c r="AT30" s="13"/>
      <c r="AU30" s="35">
        <f t="shared" si="12"/>
        <v>0</v>
      </c>
      <c r="AV30" s="44"/>
      <c r="AX30" s="662"/>
      <c r="AY30" s="664"/>
      <c r="AZ30" s="38"/>
      <c r="BA30" s="31"/>
      <c r="BB30" s="13"/>
      <c r="BC30" s="35">
        <f t="shared" si="5"/>
        <v>0</v>
      </c>
      <c r="BD30" s="44"/>
      <c r="BF30" s="662"/>
      <c r="BG30" s="664"/>
      <c r="BH30" s="38"/>
      <c r="BI30" s="31"/>
      <c r="BJ30" s="13"/>
      <c r="BK30" s="35">
        <f t="shared" si="6"/>
        <v>0</v>
      </c>
      <c r="BL30" s="44"/>
      <c r="BN30" s="662"/>
      <c r="BO30" s="664"/>
      <c r="BP30" s="38"/>
      <c r="BQ30" s="31"/>
      <c r="BR30" s="13"/>
      <c r="BS30" s="35">
        <f t="shared" si="8"/>
        <v>0</v>
      </c>
      <c r="BT30" s="163"/>
    </row>
    <row r="31" spans="2:72" ht="18.75" customHeight="1">
      <c r="B31" s="661"/>
      <c r="C31" s="663"/>
      <c r="D31" s="39"/>
      <c r="E31" s="32"/>
      <c r="F31" s="11"/>
      <c r="G31" s="23">
        <f t="shared" si="11"/>
        <v>0</v>
      </c>
      <c r="H31" s="164"/>
      <c r="J31" s="661"/>
      <c r="K31" s="663"/>
      <c r="L31" s="39"/>
      <c r="M31" s="32"/>
      <c r="N31" s="11"/>
      <c r="O31" s="23">
        <f t="shared" si="10"/>
        <v>0</v>
      </c>
      <c r="P31" s="164"/>
      <c r="R31" s="661"/>
      <c r="S31" s="663"/>
      <c r="T31" s="39"/>
      <c r="U31" s="32"/>
      <c r="V31" s="11"/>
      <c r="W31" s="23">
        <f t="shared" si="9"/>
        <v>0</v>
      </c>
      <c r="X31" s="164"/>
      <c r="Z31" s="661"/>
      <c r="AA31" s="663"/>
      <c r="AB31" s="10"/>
      <c r="AC31" s="32"/>
      <c r="AD31" s="11"/>
      <c r="AE31" s="23">
        <f t="shared" si="2"/>
        <v>0</v>
      </c>
      <c r="AF31" s="164"/>
      <c r="AH31" s="661"/>
      <c r="AI31" s="663"/>
      <c r="AJ31" s="10"/>
      <c r="AK31" s="32"/>
      <c r="AL31" s="11"/>
      <c r="AM31" s="23">
        <f t="shared" si="3"/>
        <v>0</v>
      </c>
      <c r="AN31" s="164"/>
      <c r="AP31" s="661"/>
      <c r="AQ31" s="663"/>
      <c r="AR31" s="39"/>
      <c r="AS31" s="32"/>
      <c r="AT31" s="11"/>
      <c r="AU31" s="23">
        <f t="shared" si="12"/>
        <v>0</v>
      </c>
      <c r="AV31" s="45"/>
      <c r="AX31" s="661"/>
      <c r="AY31" s="663"/>
      <c r="AZ31" s="39"/>
      <c r="BA31" s="32"/>
      <c r="BB31" s="11"/>
      <c r="BC31" s="23">
        <f t="shared" si="5"/>
        <v>0</v>
      </c>
      <c r="BD31" s="45"/>
      <c r="BF31" s="661"/>
      <c r="BG31" s="663"/>
      <c r="BH31" s="39"/>
      <c r="BI31" s="32"/>
      <c r="BJ31" s="11"/>
      <c r="BK31" s="23">
        <f t="shared" si="6"/>
        <v>0</v>
      </c>
      <c r="BL31" s="45"/>
      <c r="BN31" s="667" t="s">
        <v>668</v>
      </c>
      <c r="BO31" s="668" t="s">
        <v>639</v>
      </c>
      <c r="BP31" s="39"/>
      <c r="BQ31" s="32" t="s">
        <v>17</v>
      </c>
      <c r="BR31" s="29">
        <v>183.2</v>
      </c>
      <c r="BS31" s="23">
        <f t="shared" si="8"/>
        <v>0</v>
      </c>
      <c r="BT31" s="164" t="s">
        <v>664</v>
      </c>
    </row>
    <row r="32" spans="2:72">
      <c r="B32" s="662"/>
      <c r="C32" s="664"/>
      <c r="D32" s="38"/>
      <c r="E32" s="31"/>
      <c r="F32" s="13"/>
      <c r="G32" s="35">
        <f t="shared" si="11"/>
        <v>0</v>
      </c>
      <c r="H32" s="163"/>
      <c r="J32" s="662"/>
      <c r="K32" s="664"/>
      <c r="L32" s="38"/>
      <c r="M32" s="31"/>
      <c r="N32" s="13"/>
      <c r="O32" s="35">
        <f t="shared" si="10"/>
        <v>0</v>
      </c>
      <c r="P32" s="163"/>
      <c r="R32" s="662"/>
      <c r="S32" s="664"/>
      <c r="T32" s="38"/>
      <c r="U32" s="31"/>
      <c r="V32" s="13"/>
      <c r="W32" s="35">
        <f t="shared" si="9"/>
        <v>0</v>
      </c>
      <c r="X32" s="163"/>
      <c r="Z32" s="662"/>
      <c r="AA32" s="664"/>
      <c r="AB32" s="12"/>
      <c r="AC32" s="31"/>
      <c r="AD32" s="13"/>
      <c r="AE32" s="35">
        <f t="shared" si="2"/>
        <v>0</v>
      </c>
      <c r="AF32" s="163"/>
      <c r="AH32" s="662"/>
      <c r="AI32" s="664"/>
      <c r="AJ32" s="12"/>
      <c r="AK32" s="31"/>
      <c r="AL32" s="13"/>
      <c r="AM32" s="35">
        <f t="shared" si="3"/>
        <v>0</v>
      </c>
      <c r="AN32" s="163"/>
      <c r="AP32" s="662"/>
      <c r="AQ32" s="664"/>
      <c r="AR32" s="38"/>
      <c r="AS32" s="31"/>
      <c r="AT32" s="13"/>
      <c r="AU32" s="35">
        <f t="shared" si="12"/>
        <v>0</v>
      </c>
      <c r="AV32" s="44"/>
      <c r="AX32" s="662"/>
      <c r="AY32" s="664"/>
      <c r="AZ32" s="38"/>
      <c r="BA32" s="31"/>
      <c r="BB32" s="13"/>
      <c r="BC32" s="35">
        <f t="shared" si="5"/>
        <v>0</v>
      </c>
      <c r="BD32" s="44"/>
      <c r="BF32" s="662"/>
      <c r="BG32" s="664"/>
      <c r="BH32" s="38"/>
      <c r="BI32" s="31"/>
      <c r="BJ32" s="13"/>
      <c r="BK32" s="35">
        <f t="shared" si="6"/>
        <v>0</v>
      </c>
      <c r="BL32" s="44"/>
      <c r="BN32" s="662"/>
      <c r="BO32" s="664"/>
      <c r="BP32" s="38"/>
      <c r="BQ32" s="31"/>
      <c r="BR32" s="13"/>
      <c r="BS32" s="35">
        <f t="shared" si="8"/>
        <v>0</v>
      </c>
      <c r="BT32" s="163"/>
    </row>
    <row r="33" spans="2:72" ht="18.75" customHeight="1">
      <c r="B33" s="661"/>
      <c r="C33" s="663"/>
      <c r="D33" s="39"/>
      <c r="E33" s="32"/>
      <c r="F33" s="11"/>
      <c r="G33" s="23">
        <f t="shared" si="11"/>
        <v>0</v>
      </c>
      <c r="H33" s="164"/>
      <c r="J33" s="661"/>
      <c r="K33" s="663"/>
      <c r="L33" s="39"/>
      <c r="M33" s="32"/>
      <c r="N33" s="11"/>
      <c r="O33" s="23">
        <f t="shared" si="10"/>
        <v>0</v>
      </c>
      <c r="P33" s="164"/>
      <c r="R33" s="661"/>
      <c r="S33" s="663"/>
      <c r="T33" s="39"/>
      <c r="U33" s="32"/>
      <c r="V33" s="11"/>
      <c r="W33" s="23">
        <f t="shared" si="9"/>
        <v>0</v>
      </c>
      <c r="X33" s="164"/>
      <c r="Z33" s="661"/>
      <c r="AA33" s="663"/>
      <c r="AB33" s="10"/>
      <c r="AC33" s="32"/>
      <c r="AD33" s="11"/>
      <c r="AE33" s="23">
        <f t="shared" si="2"/>
        <v>0</v>
      </c>
      <c r="AF33" s="164"/>
      <c r="AH33" s="661"/>
      <c r="AI33" s="663"/>
      <c r="AJ33" s="10"/>
      <c r="AK33" s="32"/>
      <c r="AL33" s="11"/>
      <c r="AM33" s="23">
        <f t="shared" si="3"/>
        <v>0</v>
      </c>
      <c r="AN33" s="164"/>
      <c r="AP33" s="661"/>
      <c r="AQ33" s="663"/>
      <c r="AR33" s="39"/>
      <c r="AS33" s="32"/>
      <c r="AT33" s="11"/>
      <c r="AU33" s="23">
        <f t="shared" si="12"/>
        <v>0</v>
      </c>
      <c r="AV33" s="45"/>
      <c r="AX33" s="661"/>
      <c r="AY33" s="663"/>
      <c r="AZ33" s="39"/>
      <c r="BA33" s="32"/>
      <c r="BB33" s="11"/>
      <c r="BC33" s="23">
        <f t="shared" si="5"/>
        <v>0</v>
      </c>
      <c r="BD33" s="45"/>
      <c r="BF33" s="661"/>
      <c r="BG33" s="663"/>
      <c r="BH33" s="39"/>
      <c r="BI33" s="32"/>
      <c r="BJ33" s="11"/>
      <c r="BK33" s="23">
        <f t="shared" si="6"/>
        <v>0</v>
      </c>
      <c r="BL33" s="45"/>
      <c r="BN33" s="667" t="s">
        <v>669</v>
      </c>
      <c r="BO33" s="668" t="s">
        <v>640</v>
      </c>
      <c r="BP33" s="39"/>
      <c r="BQ33" s="32" t="s">
        <v>41</v>
      </c>
      <c r="BR33" s="11">
        <v>4299</v>
      </c>
      <c r="BS33" s="23">
        <f t="shared" si="8"/>
        <v>0</v>
      </c>
      <c r="BT33" s="164" t="s">
        <v>665</v>
      </c>
    </row>
    <row r="34" spans="2:72">
      <c r="B34" s="662"/>
      <c r="C34" s="664"/>
      <c r="D34" s="38"/>
      <c r="E34" s="31"/>
      <c r="F34" s="13"/>
      <c r="G34" s="35">
        <f t="shared" si="11"/>
        <v>0</v>
      </c>
      <c r="H34" s="163"/>
      <c r="J34" s="662"/>
      <c r="K34" s="664"/>
      <c r="L34" s="38"/>
      <c r="M34" s="31"/>
      <c r="N34" s="13"/>
      <c r="O34" s="35">
        <f t="shared" si="10"/>
        <v>0</v>
      </c>
      <c r="P34" s="163"/>
      <c r="R34" s="662"/>
      <c r="S34" s="664"/>
      <c r="T34" s="38"/>
      <c r="U34" s="31"/>
      <c r="V34" s="13"/>
      <c r="W34" s="35">
        <f t="shared" si="9"/>
        <v>0</v>
      </c>
      <c r="X34" s="163"/>
      <c r="Z34" s="662"/>
      <c r="AA34" s="664"/>
      <c r="AB34" s="12"/>
      <c r="AC34" s="31"/>
      <c r="AD34" s="13"/>
      <c r="AE34" s="35">
        <f t="shared" si="2"/>
        <v>0</v>
      </c>
      <c r="AF34" s="163"/>
      <c r="AH34" s="662"/>
      <c r="AI34" s="664"/>
      <c r="AJ34" s="12"/>
      <c r="AK34" s="31"/>
      <c r="AL34" s="13"/>
      <c r="AM34" s="35">
        <f t="shared" si="3"/>
        <v>0</v>
      </c>
      <c r="AN34" s="163"/>
      <c r="AP34" s="662"/>
      <c r="AQ34" s="664"/>
      <c r="AR34" s="38"/>
      <c r="AS34" s="31"/>
      <c r="AT34" s="13"/>
      <c r="AU34" s="35">
        <f t="shared" si="12"/>
        <v>0</v>
      </c>
      <c r="AV34" s="44"/>
      <c r="AX34" s="662"/>
      <c r="AY34" s="664"/>
      <c r="AZ34" s="38"/>
      <c r="BA34" s="31"/>
      <c r="BB34" s="13"/>
      <c r="BC34" s="35">
        <f t="shared" si="5"/>
        <v>0</v>
      </c>
      <c r="BD34" s="44"/>
      <c r="BF34" s="662"/>
      <c r="BG34" s="664"/>
      <c r="BH34" s="38"/>
      <c r="BI34" s="31"/>
      <c r="BJ34" s="13"/>
      <c r="BK34" s="35">
        <f t="shared" si="6"/>
        <v>0</v>
      </c>
      <c r="BL34" s="44"/>
      <c r="BN34" s="662"/>
      <c r="BO34" s="664"/>
      <c r="BP34" s="38"/>
      <c r="BQ34" s="31"/>
      <c r="BR34" s="13"/>
      <c r="BS34" s="35">
        <f t="shared" si="8"/>
        <v>0</v>
      </c>
      <c r="BT34" s="163"/>
    </row>
    <row r="35" spans="2:72" ht="18.75" customHeight="1">
      <c r="B35" s="661"/>
      <c r="C35" s="663"/>
      <c r="D35" s="39"/>
      <c r="E35" s="32"/>
      <c r="F35" s="11"/>
      <c r="G35" s="23">
        <f t="shared" si="11"/>
        <v>0</v>
      </c>
      <c r="H35" s="164"/>
      <c r="J35" s="661"/>
      <c r="K35" s="663"/>
      <c r="L35" s="39"/>
      <c r="M35" s="32"/>
      <c r="N35" s="11"/>
      <c r="O35" s="23">
        <f t="shared" si="10"/>
        <v>0</v>
      </c>
      <c r="P35" s="164"/>
      <c r="R35" s="661"/>
      <c r="S35" s="663"/>
      <c r="T35" s="39"/>
      <c r="U35" s="32"/>
      <c r="V35" s="11"/>
      <c r="W35" s="23">
        <f t="shared" si="9"/>
        <v>0</v>
      </c>
      <c r="X35" s="164"/>
      <c r="Z35" s="661"/>
      <c r="AA35" s="663"/>
      <c r="AB35" s="10"/>
      <c r="AC35" s="32"/>
      <c r="AD35" s="11"/>
      <c r="AE35" s="23">
        <f t="shared" si="2"/>
        <v>0</v>
      </c>
      <c r="AF35" s="164"/>
      <c r="AH35" s="661"/>
      <c r="AI35" s="663"/>
      <c r="AJ35" s="10"/>
      <c r="AK35" s="32"/>
      <c r="AL35" s="11"/>
      <c r="AM35" s="23">
        <f t="shared" si="3"/>
        <v>0</v>
      </c>
      <c r="AN35" s="164"/>
      <c r="AP35" s="661"/>
      <c r="AQ35" s="663"/>
      <c r="AR35" s="39"/>
      <c r="AS35" s="32"/>
      <c r="AT35" s="11"/>
      <c r="AU35" s="23">
        <f t="shared" si="12"/>
        <v>0</v>
      </c>
      <c r="AV35" s="45"/>
      <c r="AX35" s="661"/>
      <c r="AY35" s="663"/>
      <c r="AZ35" s="39"/>
      <c r="BA35" s="32"/>
      <c r="BB35" s="11"/>
      <c r="BC35" s="23">
        <f t="shared" si="5"/>
        <v>0</v>
      </c>
      <c r="BD35" s="45"/>
      <c r="BF35" s="661"/>
      <c r="BG35" s="663"/>
      <c r="BH35" s="39"/>
      <c r="BI35" s="32"/>
      <c r="BJ35" s="11"/>
      <c r="BK35" s="23">
        <f t="shared" si="6"/>
        <v>0</v>
      </c>
      <c r="BL35" s="45"/>
      <c r="BN35" s="667" t="s">
        <v>909</v>
      </c>
      <c r="BO35" s="668" t="s">
        <v>641</v>
      </c>
      <c r="BP35" s="39"/>
      <c r="BQ35" s="32" t="s">
        <v>41</v>
      </c>
      <c r="BR35" s="11">
        <v>2580</v>
      </c>
      <c r="BS35" s="23">
        <f t="shared" si="8"/>
        <v>0</v>
      </c>
      <c r="BT35" s="164"/>
    </row>
    <row r="36" spans="2:72">
      <c r="B36" s="662"/>
      <c r="C36" s="664"/>
      <c r="D36" s="38"/>
      <c r="E36" s="31"/>
      <c r="F36" s="13"/>
      <c r="G36" s="35">
        <f t="shared" si="11"/>
        <v>0</v>
      </c>
      <c r="H36" s="163"/>
      <c r="J36" s="662"/>
      <c r="K36" s="664"/>
      <c r="L36" s="38"/>
      <c r="M36" s="31"/>
      <c r="N36" s="13"/>
      <c r="O36" s="35">
        <f t="shared" si="10"/>
        <v>0</v>
      </c>
      <c r="P36" s="163"/>
      <c r="R36" s="662"/>
      <c r="S36" s="664"/>
      <c r="T36" s="38"/>
      <c r="U36" s="31"/>
      <c r="V36" s="13"/>
      <c r="W36" s="35">
        <f t="shared" si="9"/>
        <v>0</v>
      </c>
      <c r="X36" s="163"/>
      <c r="Z36" s="662"/>
      <c r="AA36" s="664"/>
      <c r="AB36" s="12"/>
      <c r="AC36" s="31"/>
      <c r="AD36" s="13"/>
      <c r="AE36" s="35">
        <f t="shared" si="2"/>
        <v>0</v>
      </c>
      <c r="AF36" s="163"/>
      <c r="AH36" s="662"/>
      <c r="AI36" s="664"/>
      <c r="AJ36" s="12"/>
      <c r="AK36" s="31"/>
      <c r="AL36" s="13"/>
      <c r="AM36" s="35">
        <f t="shared" si="3"/>
        <v>0</v>
      </c>
      <c r="AN36" s="163"/>
      <c r="AP36" s="662"/>
      <c r="AQ36" s="664"/>
      <c r="AR36" s="38"/>
      <c r="AS36" s="31"/>
      <c r="AT36" s="13"/>
      <c r="AU36" s="35">
        <f t="shared" si="12"/>
        <v>0</v>
      </c>
      <c r="AV36" s="44"/>
      <c r="AX36" s="662"/>
      <c r="AY36" s="664"/>
      <c r="AZ36" s="38"/>
      <c r="BA36" s="31"/>
      <c r="BB36" s="13"/>
      <c r="BC36" s="35">
        <f t="shared" si="5"/>
        <v>0</v>
      </c>
      <c r="BD36" s="44"/>
      <c r="BF36" s="662"/>
      <c r="BG36" s="664"/>
      <c r="BH36" s="38"/>
      <c r="BI36" s="31"/>
      <c r="BJ36" s="13"/>
      <c r="BK36" s="35">
        <f t="shared" si="6"/>
        <v>0</v>
      </c>
      <c r="BL36" s="44"/>
      <c r="BN36" s="662"/>
      <c r="BO36" s="664"/>
      <c r="BP36" s="38"/>
      <c r="BQ36" s="31"/>
      <c r="BR36" s="13"/>
      <c r="BS36" s="35">
        <f t="shared" si="8"/>
        <v>0</v>
      </c>
      <c r="BT36" s="163"/>
    </row>
    <row r="37" spans="2:72" ht="18.75" customHeight="1">
      <c r="B37" s="661"/>
      <c r="C37" s="663"/>
      <c r="D37" s="39"/>
      <c r="E37" s="32"/>
      <c r="F37" s="11"/>
      <c r="G37" s="23">
        <f t="shared" si="11"/>
        <v>0</v>
      </c>
      <c r="H37" s="164"/>
      <c r="J37" s="661"/>
      <c r="K37" s="663"/>
      <c r="L37" s="39"/>
      <c r="M37" s="32"/>
      <c r="N37" s="11"/>
      <c r="O37" s="23">
        <f t="shared" si="10"/>
        <v>0</v>
      </c>
      <c r="P37" s="164"/>
      <c r="R37" s="661"/>
      <c r="S37" s="663"/>
      <c r="T37" s="39"/>
      <c r="U37" s="32"/>
      <c r="V37" s="11"/>
      <c r="W37" s="23">
        <f t="shared" si="9"/>
        <v>0</v>
      </c>
      <c r="X37" s="164"/>
      <c r="Z37" s="661"/>
      <c r="AA37" s="663"/>
      <c r="AB37" s="10"/>
      <c r="AC37" s="32"/>
      <c r="AD37" s="11"/>
      <c r="AE37" s="23">
        <f t="shared" si="2"/>
        <v>0</v>
      </c>
      <c r="AF37" s="164"/>
      <c r="AH37" s="661"/>
      <c r="AI37" s="663"/>
      <c r="AJ37" s="10"/>
      <c r="AK37" s="32"/>
      <c r="AL37" s="11"/>
      <c r="AM37" s="23">
        <f t="shared" si="3"/>
        <v>0</v>
      </c>
      <c r="AN37" s="164"/>
      <c r="AP37" s="661"/>
      <c r="AQ37" s="663"/>
      <c r="AR37" s="39"/>
      <c r="AS37" s="32"/>
      <c r="AT37" s="11"/>
      <c r="AU37" s="23">
        <f t="shared" si="12"/>
        <v>0</v>
      </c>
      <c r="AV37" s="45"/>
      <c r="AX37" s="661"/>
      <c r="AY37" s="663"/>
      <c r="AZ37" s="39"/>
      <c r="BA37" s="32"/>
      <c r="BB37" s="11"/>
      <c r="BC37" s="23">
        <f t="shared" si="5"/>
        <v>0</v>
      </c>
      <c r="BD37" s="45"/>
      <c r="BF37" s="661"/>
      <c r="BG37" s="663"/>
      <c r="BH37" s="39"/>
      <c r="BI37" s="32"/>
      <c r="BJ37" s="11"/>
      <c r="BK37" s="23">
        <f t="shared" si="6"/>
        <v>0</v>
      </c>
      <c r="BL37" s="45"/>
      <c r="BN37" s="667" t="s">
        <v>859</v>
      </c>
      <c r="BO37" s="684" t="s">
        <v>784</v>
      </c>
      <c r="BP37" s="39"/>
      <c r="BQ37" s="32" t="s">
        <v>40</v>
      </c>
      <c r="BR37" s="11">
        <v>2716</v>
      </c>
      <c r="BS37" s="23">
        <f t="shared" si="8"/>
        <v>0</v>
      </c>
      <c r="BT37" s="164" t="s">
        <v>670</v>
      </c>
    </row>
    <row r="38" spans="2:72">
      <c r="B38" s="662"/>
      <c r="C38" s="664"/>
      <c r="D38" s="38"/>
      <c r="E38" s="31"/>
      <c r="F38" s="13"/>
      <c r="G38" s="35">
        <f t="shared" si="11"/>
        <v>0</v>
      </c>
      <c r="H38" s="163"/>
      <c r="J38" s="662"/>
      <c r="K38" s="664"/>
      <c r="L38" s="38"/>
      <c r="M38" s="31"/>
      <c r="N38" s="13"/>
      <c r="O38" s="35">
        <f t="shared" si="10"/>
        <v>0</v>
      </c>
      <c r="P38" s="163"/>
      <c r="R38" s="662"/>
      <c r="S38" s="664"/>
      <c r="T38" s="38"/>
      <c r="U38" s="31"/>
      <c r="V38" s="13"/>
      <c r="W38" s="35">
        <f t="shared" si="9"/>
        <v>0</v>
      </c>
      <c r="X38" s="163"/>
      <c r="Z38" s="662"/>
      <c r="AA38" s="664"/>
      <c r="AB38" s="12"/>
      <c r="AC38" s="31"/>
      <c r="AD38" s="13"/>
      <c r="AE38" s="35">
        <f t="shared" si="2"/>
        <v>0</v>
      </c>
      <c r="AF38" s="163"/>
      <c r="AH38" s="662"/>
      <c r="AI38" s="664"/>
      <c r="AJ38" s="12"/>
      <c r="AK38" s="31"/>
      <c r="AL38" s="13"/>
      <c r="AM38" s="35">
        <f t="shared" si="3"/>
        <v>0</v>
      </c>
      <c r="AN38" s="163"/>
      <c r="AP38" s="662"/>
      <c r="AQ38" s="664"/>
      <c r="AR38" s="38"/>
      <c r="AS38" s="31"/>
      <c r="AT38" s="13"/>
      <c r="AU38" s="35">
        <f t="shared" si="12"/>
        <v>0</v>
      </c>
      <c r="AV38" s="44"/>
      <c r="AX38" s="662"/>
      <c r="AY38" s="664"/>
      <c r="AZ38" s="38"/>
      <c r="BA38" s="31"/>
      <c r="BB38" s="13"/>
      <c r="BC38" s="35">
        <f t="shared" si="5"/>
        <v>0</v>
      </c>
      <c r="BD38" s="44"/>
      <c r="BF38" s="662"/>
      <c r="BG38" s="664"/>
      <c r="BH38" s="38"/>
      <c r="BI38" s="31"/>
      <c r="BJ38" s="13"/>
      <c r="BK38" s="35">
        <f t="shared" si="6"/>
        <v>0</v>
      </c>
      <c r="BL38" s="44"/>
      <c r="BN38" s="662"/>
      <c r="BO38" s="685"/>
      <c r="BP38" s="38"/>
      <c r="BQ38" s="31"/>
      <c r="BR38" s="13"/>
      <c r="BS38" s="35">
        <f t="shared" si="8"/>
        <v>0</v>
      </c>
      <c r="BT38" s="163"/>
    </row>
    <row r="39" spans="2:72" ht="18.75" customHeight="1">
      <c r="B39" s="661"/>
      <c r="C39" s="663"/>
      <c r="D39" s="39"/>
      <c r="E39" s="32"/>
      <c r="F39" s="11"/>
      <c r="G39" s="23">
        <f t="shared" si="11"/>
        <v>0</v>
      </c>
      <c r="H39" s="164"/>
      <c r="J39" s="661"/>
      <c r="K39" s="663"/>
      <c r="L39" s="39"/>
      <c r="M39" s="32"/>
      <c r="N39" s="11"/>
      <c r="O39" s="23">
        <f t="shared" si="10"/>
        <v>0</v>
      </c>
      <c r="P39" s="164"/>
      <c r="R39" s="661"/>
      <c r="S39" s="663"/>
      <c r="T39" s="39"/>
      <c r="U39" s="32"/>
      <c r="V39" s="11"/>
      <c r="W39" s="23">
        <f t="shared" si="9"/>
        <v>0</v>
      </c>
      <c r="X39" s="164"/>
      <c r="Z39" s="661"/>
      <c r="AA39" s="663"/>
      <c r="AB39" s="10"/>
      <c r="AC39" s="32"/>
      <c r="AD39" s="11"/>
      <c r="AE39" s="23">
        <f t="shared" si="2"/>
        <v>0</v>
      </c>
      <c r="AF39" s="164"/>
      <c r="AH39" s="661"/>
      <c r="AI39" s="663"/>
      <c r="AJ39" s="10"/>
      <c r="AK39" s="32"/>
      <c r="AL39" s="11"/>
      <c r="AM39" s="23">
        <f t="shared" si="3"/>
        <v>0</v>
      </c>
      <c r="AN39" s="164"/>
      <c r="AP39" s="661"/>
      <c r="AQ39" s="663"/>
      <c r="AR39" s="39"/>
      <c r="AS39" s="32"/>
      <c r="AT39" s="11"/>
      <c r="AU39" s="23">
        <f t="shared" si="12"/>
        <v>0</v>
      </c>
      <c r="AV39" s="45"/>
      <c r="AX39" s="661"/>
      <c r="AY39" s="663"/>
      <c r="AZ39" s="39"/>
      <c r="BA39" s="32"/>
      <c r="BB39" s="11"/>
      <c r="BC39" s="23">
        <f t="shared" si="5"/>
        <v>0</v>
      </c>
      <c r="BD39" s="45"/>
      <c r="BF39" s="661"/>
      <c r="BG39" s="663"/>
      <c r="BH39" s="39"/>
      <c r="BI39" s="32"/>
      <c r="BJ39" s="11"/>
      <c r="BK39" s="23">
        <f t="shared" si="6"/>
        <v>0</v>
      </c>
      <c r="BL39" s="45"/>
      <c r="BN39" s="667" t="s">
        <v>783</v>
      </c>
      <c r="BO39" s="663" t="s">
        <v>642</v>
      </c>
      <c r="BP39" s="39"/>
      <c r="BQ39" s="32" t="s">
        <v>40</v>
      </c>
      <c r="BR39" s="11">
        <v>1440</v>
      </c>
      <c r="BS39" s="23">
        <f t="shared" si="8"/>
        <v>0</v>
      </c>
      <c r="BT39" s="164" t="s">
        <v>850</v>
      </c>
    </row>
    <row r="40" spans="2:72">
      <c r="B40" s="662"/>
      <c r="C40" s="664"/>
      <c r="D40" s="38"/>
      <c r="E40" s="31"/>
      <c r="F40" s="13"/>
      <c r="G40" s="35">
        <f t="shared" si="11"/>
        <v>0</v>
      </c>
      <c r="H40" s="163"/>
      <c r="J40" s="662"/>
      <c r="K40" s="664"/>
      <c r="L40" s="38"/>
      <c r="M40" s="31"/>
      <c r="N40" s="13"/>
      <c r="O40" s="35">
        <f t="shared" si="10"/>
        <v>0</v>
      </c>
      <c r="P40" s="163"/>
      <c r="R40" s="662"/>
      <c r="S40" s="664"/>
      <c r="T40" s="38"/>
      <c r="U40" s="31"/>
      <c r="V40" s="13"/>
      <c r="W40" s="35">
        <f t="shared" si="9"/>
        <v>0</v>
      </c>
      <c r="X40" s="163"/>
      <c r="Z40" s="662"/>
      <c r="AA40" s="664"/>
      <c r="AB40" s="12"/>
      <c r="AC40" s="31"/>
      <c r="AD40" s="13"/>
      <c r="AE40" s="35">
        <f t="shared" si="2"/>
        <v>0</v>
      </c>
      <c r="AF40" s="163"/>
      <c r="AH40" s="662"/>
      <c r="AI40" s="664"/>
      <c r="AJ40" s="12"/>
      <c r="AK40" s="31"/>
      <c r="AL40" s="13"/>
      <c r="AM40" s="35">
        <f t="shared" si="3"/>
        <v>0</v>
      </c>
      <c r="AN40" s="163"/>
      <c r="AP40" s="662"/>
      <c r="AQ40" s="664"/>
      <c r="AR40" s="38"/>
      <c r="AS40" s="31"/>
      <c r="AT40" s="13"/>
      <c r="AU40" s="35">
        <f t="shared" si="12"/>
        <v>0</v>
      </c>
      <c r="AV40" s="44"/>
      <c r="AX40" s="662"/>
      <c r="AY40" s="664"/>
      <c r="AZ40" s="38"/>
      <c r="BA40" s="31"/>
      <c r="BB40" s="13"/>
      <c r="BC40" s="35">
        <f t="shared" si="5"/>
        <v>0</v>
      </c>
      <c r="BD40" s="44"/>
      <c r="BF40" s="662"/>
      <c r="BG40" s="664"/>
      <c r="BH40" s="38"/>
      <c r="BI40" s="31"/>
      <c r="BJ40" s="13"/>
      <c r="BK40" s="35">
        <f t="shared" si="6"/>
        <v>0</v>
      </c>
      <c r="BL40" s="44"/>
      <c r="BN40" s="662"/>
      <c r="BO40" s="664"/>
      <c r="BP40" s="38"/>
      <c r="BQ40" s="31"/>
      <c r="BR40" s="13"/>
      <c r="BS40" s="35">
        <f t="shared" si="8"/>
        <v>0</v>
      </c>
      <c r="BT40" s="163"/>
    </row>
    <row r="41" spans="2:72" ht="18.75" customHeight="1">
      <c r="B41" s="661"/>
      <c r="C41" s="663"/>
      <c r="D41" s="39"/>
      <c r="E41" s="32"/>
      <c r="F41" s="11"/>
      <c r="G41" s="23">
        <f t="shared" si="11"/>
        <v>0</v>
      </c>
      <c r="H41" s="164"/>
      <c r="J41" s="661"/>
      <c r="K41" s="663"/>
      <c r="L41" s="39"/>
      <c r="M41" s="32"/>
      <c r="N41" s="11"/>
      <c r="O41" s="23">
        <f t="shared" si="10"/>
        <v>0</v>
      </c>
      <c r="P41" s="164"/>
      <c r="R41" s="661"/>
      <c r="S41" s="663"/>
      <c r="T41" s="39"/>
      <c r="U41" s="32"/>
      <c r="V41" s="11"/>
      <c r="W41" s="23">
        <f t="shared" si="9"/>
        <v>0</v>
      </c>
      <c r="X41" s="164"/>
      <c r="Z41" s="661"/>
      <c r="AA41" s="663"/>
      <c r="AB41" s="10"/>
      <c r="AC41" s="32"/>
      <c r="AD41" s="11"/>
      <c r="AE41" s="23">
        <f t="shared" si="2"/>
        <v>0</v>
      </c>
      <c r="AF41" s="164"/>
      <c r="AH41" s="661"/>
      <c r="AI41" s="663"/>
      <c r="AJ41" s="10"/>
      <c r="AK41" s="32"/>
      <c r="AL41" s="11"/>
      <c r="AM41" s="23">
        <f t="shared" si="3"/>
        <v>0</v>
      </c>
      <c r="AN41" s="164"/>
      <c r="AP41" s="661"/>
      <c r="AQ41" s="663"/>
      <c r="AR41" s="39"/>
      <c r="AS41" s="32"/>
      <c r="AT41" s="11"/>
      <c r="AU41" s="23">
        <f t="shared" si="12"/>
        <v>0</v>
      </c>
      <c r="AV41" s="45"/>
      <c r="AX41" s="661"/>
      <c r="AY41" s="663"/>
      <c r="AZ41" s="39"/>
      <c r="BA41" s="32"/>
      <c r="BB41" s="11"/>
      <c r="BC41" s="23">
        <f t="shared" si="5"/>
        <v>0</v>
      </c>
      <c r="BD41" s="45"/>
      <c r="BF41" s="661"/>
      <c r="BG41" s="663"/>
      <c r="BH41" s="39"/>
      <c r="BI41" s="32"/>
      <c r="BJ41" s="11"/>
      <c r="BK41" s="23">
        <f t="shared" si="6"/>
        <v>0</v>
      </c>
      <c r="BL41" s="45"/>
      <c r="BN41" s="667" t="s">
        <v>857</v>
      </c>
      <c r="BO41" s="663" t="s">
        <v>643</v>
      </c>
      <c r="BP41" s="39"/>
      <c r="BQ41" s="32" t="s">
        <v>40</v>
      </c>
      <c r="BR41" s="11">
        <v>1189</v>
      </c>
      <c r="BS41" s="23">
        <f t="shared" si="8"/>
        <v>0</v>
      </c>
      <c r="BT41" s="164" t="s">
        <v>851</v>
      </c>
    </row>
    <row r="42" spans="2:72">
      <c r="B42" s="662"/>
      <c r="C42" s="664"/>
      <c r="D42" s="38"/>
      <c r="E42" s="31"/>
      <c r="F42" s="13"/>
      <c r="G42" s="35">
        <f t="shared" si="11"/>
        <v>0</v>
      </c>
      <c r="H42" s="163"/>
      <c r="J42" s="662"/>
      <c r="K42" s="664"/>
      <c r="L42" s="38"/>
      <c r="M42" s="31"/>
      <c r="N42" s="13"/>
      <c r="O42" s="35">
        <f t="shared" si="10"/>
        <v>0</v>
      </c>
      <c r="P42" s="163"/>
      <c r="R42" s="662"/>
      <c r="S42" s="664"/>
      <c r="T42" s="38"/>
      <c r="U42" s="31"/>
      <c r="V42" s="13"/>
      <c r="W42" s="35">
        <f t="shared" si="9"/>
        <v>0</v>
      </c>
      <c r="X42" s="163"/>
      <c r="Z42" s="662"/>
      <c r="AA42" s="664"/>
      <c r="AB42" s="12"/>
      <c r="AC42" s="31"/>
      <c r="AD42" s="13"/>
      <c r="AE42" s="35">
        <f t="shared" si="2"/>
        <v>0</v>
      </c>
      <c r="AF42" s="163"/>
      <c r="AH42" s="662"/>
      <c r="AI42" s="664"/>
      <c r="AJ42" s="12"/>
      <c r="AK42" s="31"/>
      <c r="AL42" s="13"/>
      <c r="AM42" s="35">
        <f t="shared" si="3"/>
        <v>0</v>
      </c>
      <c r="AN42" s="163"/>
      <c r="AP42" s="662"/>
      <c r="AQ42" s="664"/>
      <c r="AR42" s="38"/>
      <c r="AS42" s="31"/>
      <c r="AT42" s="13"/>
      <c r="AU42" s="35">
        <f t="shared" si="12"/>
        <v>0</v>
      </c>
      <c r="AV42" s="44"/>
      <c r="AX42" s="662"/>
      <c r="AY42" s="664"/>
      <c r="AZ42" s="38"/>
      <c r="BA42" s="31"/>
      <c r="BB42" s="13"/>
      <c r="BC42" s="35">
        <f t="shared" si="5"/>
        <v>0</v>
      </c>
      <c r="BD42" s="44"/>
      <c r="BF42" s="662"/>
      <c r="BG42" s="664"/>
      <c r="BH42" s="38"/>
      <c r="BI42" s="31"/>
      <c r="BJ42" s="13"/>
      <c r="BK42" s="35">
        <f t="shared" si="6"/>
        <v>0</v>
      </c>
      <c r="BL42" s="44"/>
      <c r="BN42" s="662"/>
      <c r="BO42" s="664"/>
      <c r="BP42" s="38"/>
      <c r="BQ42" s="31"/>
      <c r="BR42" s="13"/>
      <c r="BS42" s="35">
        <f t="shared" si="8"/>
        <v>0</v>
      </c>
      <c r="BT42" s="163"/>
    </row>
    <row r="43" spans="2:72">
      <c r="B43" s="661"/>
      <c r="C43" s="663"/>
      <c r="D43" s="39"/>
      <c r="E43" s="32"/>
      <c r="F43" s="11"/>
      <c r="G43" s="23">
        <f t="shared" si="11"/>
        <v>0</v>
      </c>
      <c r="H43" s="164"/>
      <c r="J43" s="661"/>
      <c r="K43" s="663"/>
      <c r="L43" s="39"/>
      <c r="M43" s="32"/>
      <c r="N43" s="11"/>
      <c r="O43" s="23">
        <f t="shared" si="10"/>
        <v>0</v>
      </c>
      <c r="P43" s="164"/>
      <c r="R43" s="661"/>
      <c r="S43" s="663"/>
      <c r="T43" s="39"/>
      <c r="U43" s="32"/>
      <c r="V43" s="11"/>
      <c r="W43" s="23">
        <f t="shared" si="9"/>
        <v>0</v>
      </c>
      <c r="X43" s="164"/>
      <c r="Z43" s="661"/>
      <c r="AA43" s="663"/>
      <c r="AB43" s="10"/>
      <c r="AC43" s="32"/>
      <c r="AD43" s="11"/>
      <c r="AE43" s="23">
        <f t="shared" si="2"/>
        <v>0</v>
      </c>
      <c r="AF43" s="164"/>
      <c r="AH43" s="661"/>
      <c r="AI43" s="663"/>
      <c r="AJ43" s="10"/>
      <c r="AK43" s="32"/>
      <c r="AL43" s="11"/>
      <c r="AM43" s="23">
        <f t="shared" si="3"/>
        <v>0</v>
      </c>
      <c r="AN43" s="164"/>
      <c r="AP43" s="661"/>
      <c r="AQ43" s="663"/>
      <c r="AR43" s="39"/>
      <c r="AS43" s="32"/>
      <c r="AT43" s="11"/>
      <c r="AU43" s="23">
        <f t="shared" si="12"/>
        <v>0</v>
      </c>
      <c r="AV43" s="45"/>
      <c r="AX43" s="661"/>
      <c r="AY43" s="663"/>
      <c r="AZ43" s="39"/>
      <c r="BA43" s="32"/>
      <c r="BB43" s="11"/>
      <c r="BC43" s="23">
        <f t="shared" si="5"/>
        <v>0</v>
      </c>
      <c r="BD43" s="45"/>
      <c r="BF43" s="661"/>
      <c r="BG43" s="663"/>
      <c r="BH43" s="39"/>
      <c r="BI43" s="32"/>
      <c r="BJ43" s="11"/>
      <c r="BK43" s="23">
        <f t="shared" si="6"/>
        <v>0</v>
      </c>
      <c r="BL43" s="45"/>
      <c r="BN43" s="661"/>
      <c r="BO43" s="663"/>
      <c r="BP43" s="39"/>
      <c r="BQ43" s="32"/>
      <c r="BR43" s="11"/>
      <c r="BS43" s="23"/>
      <c r="BT43" s="164"/>
    </row>
    <row r="44" spans="2:72">
      <c r="B44" s="662"/>
      <c r="C44" s="664"/>
      <c r="D44" s="38"/>
      <c r="E44" s="31"/>
      <c r="F44" s="13"/>
      <c r="G44" s="35">
        <f t="shared" si="11"/>
        <v>0</v>
      </c>
      <c r="H44" s="163"/>
      <c r="J44" s="662"/>
      <c r="K44" s="664"/>
      <c r="L44" s="38"/>
      <c r="M44" s="31"/>
      <c r="N44" s="13"/>
      <c r="O44" s="35">
        <f t="shared" si="10"/>
        <v>0</v>
      </c>
      <c r="P44" s="163"/>
      <c r="R44" s="662"/>
      <c r="S44" s="664"/>
      <c r="T44" s="38"/>
      <c r="U44" s="31"/>
      <c r="V44" s="13"/>
      <c r="W44" s="35">
        <f t="shared" si="9"/>
        <v>0</v>
      </c>
      <c r="X44" s="163"/>
      <c r="Z44" s="662"/>
      <c r="AA44" s="664"/>
      <c r="AB44" s="12"/>
      <c r="AC44" s="31"/>
      <c r="AD44" s="13"/>
      <c r="AE44" s="35">
        <f t="shared" si="2"/>
        <v>0</v>
      </c>
      <c r="AF44" s="163"/>
      <c r="AH44" s="662"/>
      <c r="AI44" s="664"/>
      <c r="AJ44" s="12"/>
      <c r="AK44" s="31"/>
      <c r="AL44" s="13"/>
      <c r="AM44" s="35">
        <f t="shared" si="3"/>
        <v>0</v>
      </c>
      <c r="AN44" s="163"/>
      <c r="AP44" s="662"/>
      <c r="AQ44" s="664"/>
      <c r="AR44" s="38"/>
      <c r="AS44" s="31"/>
      <c r="AT44" s="13"/>
      <c r="AU44" s="35">
        <f t="shared" si="12"/>
        <v>0</v>
      </c>
      <c r="AV44" s="44"/>
      <c r="AX44" s="662"/>
      <c r="AY44" s="664"/>
      <c r="AZ44" s="38"/>
      <c r="BA44" s="31"/>
      <c r="BB44" s="13"/>
      <c r="BC44" s="35">
        <f t="shared" si="5"/>
        <v>0</v>
      </c>
      <c r="BD44" s="44"/>
      <c r="BF44" s="662"/>
      <c r="BG44" s="664"/>
      <c r="BH44" s="38"/>
      <c r="BI44" s="31"/>
      <c r="BJ44" s="13"/>
      <c r="BK44" s="35">
        <f t="shared" si="6"/>
        <v>0</v>
      </c>
      <c r="BL44" s="44"/>
      <c r="BN44" s="662"/>
      <c r="BO44" s="664"/>
      <c r="BP44" s="38"/>
      <c r="BQ44" s="31"/>
      <c r="BR44" s="13"/>
      <c r="BS44" s="35"/>
      <c r="BT44" s="163"/>
    </row>
    <row r="45" spans="2:72">
      <c r="B45" s="661"/>
      <c r="C45" s="663"/>
      <c r="D45" s="39"/>
      <c r="E45" s="32"/>
      <c r="F45" s="11"/>
      <c r="G45" s="23">
        <f t="shared" si="11"/>
        <v>0</v>
      </c>
      <c r="H45" s="164"/>
      <c r="J45" s="661"/>
      <c r="K45" s="663"/>
      <c r="L45" s="39"/>
      <c r="M45" s="32"/>
      <c r="N45" s="11"/>
      <c r="O45" s="23">
        <f t="shared" si="10"/>
        <v>0</v>
      </c>
      <c r="P45" s="164"/>
      <c r="R45" s="661"/>
      <c r="S45" s="663"/>
      <c r="T45" s="39"/>
      <c r="U45" s="32"/>
      <c r="V45" s="11"/>
      <c r="W45" s="23">
        <f t="shared" si="9"/>
        <v>0</v>
      </c>
      <c r="X45" s="164"/>
      <c r="Z45" s="661"/>
      <c r="AA45" s="663"/>
      <c r="AB45" s="10"/>
      <c r="AC45" s="32"/>
      <c r="AD45" s="11"/>
      <c r="AE45" s="23">
        <f t="shared" si="2"/>
        <v>0</v>
      </c>
      <c r="AF45" s="164"/>
      <c r="AH45" s="661"/>
      <c r="AI45" s="663"/>
      <c r="AJ45" s="10"/>
      <c r="AK45" s="32"/>
      <c r="AL45" s="11"/>
      <c r="AM45" s="23">
        <f t="shared" si="3"/>
        <v>0</v>
      </c>
      <c r="AN45" s="164"/>
      <c r="AP45" s="661"/>
      <c r="AQ45" s="663"/>
      <c r="AR45" s="39"/>
      <c r="AS45" s="32"/>
      <c r="AT45" s="11"/>
      <c r="AU45" s="23">
        <f t="shared" si="12"/>
        <v>0</v>
      </c>
      <c r="AV45" s="45"/>
      <c r="AX45" s="661"/>
      <c r="AY45" s="663"/>
      <c r="AZ45" s="39"/>
      <c r="BA45" s="32"/>
      <c r="BB45" s="11"/>
      <c r="BC45" s="23">
        <f t="shared" si="5"/>
        <v>0</v>
      </c>
      <c r="BD45" s="45"/>
      <c r="BF45" s="661"/>
      <c r="BG45" s="663"/>
      <c r="BH45" s="39"/>
      <c r="BI45" s="32"/>
      <c r="BJ45" s="11"/>
      <c r="BK45" s="23">
        <f t="shared" si="6"/>
        <v>0</v>
      </c>
      <c r="BL45" s="45"/>
      <c r="BN45" s="661"/>
      <c r="BO45" s="663"/>
      <c r="BP45" s="39"/>
      <c r="BQ45" s="32"/>
      <c r="BR45" s="11"/>
      <c r="BS45" s="23"/>
      <c r="BT45" s="164"/>
    </row>
    <row r="46" spans="2:72" ht="19.5" thickBot="1">
      <c r="B46" s="665"/>
      <c r="C46" s="666"/>
      <c r="D46" s="47"/>
      <c r="E46" s="33"/>
      <c r="F46" s="27"/>
      <c r="G46" s="34">
        <f t="shared" si="11"/>
        <v>0</v>
      </c>
      <c r="H46" s="170"/>
      <c r="J46" s="665"/>
      <c r="K46" s="666"/>
      <c r="L46" s="47"/>
      <c r="M46" s="33"/>
      <c r="N46" s="27"/>
      <c r="O46" s="34">
        <f t="shared" si="10"/>
        <v>0</v>
      </c>
      <c r="P46" s="170"/>
      <c r="R46" s="665"/>
      <c r="S46" s="666"/>
      <c r="T46" s="47"/>
      <c r="U46" s="33"/>
      <c r="V46" s="27"/>
      <c r="W46" s="34">
        <f t="shared" si="9"/>
        <v>0</v>
      </c>
      <c r="X46" s="170"/>
      <c r="Z46" s="665"/>
      <c r="AA46" s="666"/>
      <c r="AB46" s="26"/>
      <c r="AC46" s="33"/>
      <c r="AD46" s="27"/>
      <c r="AE46" s="34">
        <f t="shared" si="2"/>
        <v>0</v>
      </c>
      <c r="AF46" s="170"/>
      <c r="AH46" s="665"/>
      <c r="AI46" s="666"/>
      <c r="AJ46" s="26"/>
      <c r="AK46" s="33"/>
      <c r="AL46" s="27"/>
      <c r="AM46" s="34">
        <f t="shared" si="3"/>
        <v>0</v>
      </c>
      <c r="AN46" s="170"/>
      <c r="AP46" s="665"/>
      <c r="AQ46" s="666"/>
      <c r="AR46" s="47"/>
      <c r="AS46" s="33"/>
      <c r="AT46" s="27"/>
      <c r="AU46" s="34">
        <f t="shared" si="12"/>
        <v>0</v>
      </c>
      <c r="AV46" s="46"/>
      <c r="AX46" s="665"/>
      <c r="AY46" s="666"/>
      <c r="AZ46" s="47"/>
      <c r="BA46" s="33"/>
      <c r="BB46" s="27"/>
      <c r="BC46" s="34">
        <f t="shared" si="5"/>
        <v>0</v>
      </c>
      <c r="BD46" s="46"/>
      <c r="BF46" s="665"/>
      <c r="BG46" s="666"/>
      <c r="BH46" s="47"/>
      <c r="BI46" s="33"/>
      <c r="BJ46" s="27"/>
      <c r="BK46" s="34">
        <f t="shared" si="6"/>
        <v>0</v>
      </c>
      <c r="BL46" s="46"/>
      <c r="BN46" s="662"/>
      <c r="BO46" s="664"/>
      <c r="BP46" s="47"/>
      <c r="BQ46" s="33"/>
      <c r="BR46" s="27"/>
      <c r="BS46" s="34"/>
      <c r="BT46" s="170"/>
    </row>
    <row r="47" spans="2:72" ht="19.5" thickTop="1">
      <c r="B47" s="671"/>
      <c r="C47" s="672" t="s">
        <v>11</v>
      </c>
      <c r="D47" s="22"/>
      <c r="E47" s="22"/>
      <c r="F47" s="23"/>
      <c r="G47" s="23">
        <f>+SUM(G5,G7,G9,G11,G13,G15,G17,G19,G21,G23,G25,G27,G29,G31,G33,G35,G37,G39,G41,G43,G45)</f>
        <v>0</v>
      </c>
      <c r="H47" s="22"/>
      <c r="J47" s="671"/>
      <c r="K47" s="672" t="s">
        <v>11</v>
      </c>
      <c r="L47" s="22"/>
      <c r="M47" s="22"/>
      <c r="N47" s="23"/>
      <c r="O47" s="23">
        <f>+SUM(O5,O7,O9,O11,O13,O15,O17,O19,O21,O23,O25,O27,O29,O31,O33,O35,O37,O39,O41,O43,O45)</f>
        <v>0</v>
      </c>
      <c r="P47" s="22"/>
      <c r="R47" s="671"/>
      <c r="S47" s="672" t="s">
        <v>11</v>
      </c>
      <c r="T47" s="22"/>
      <c r="U47" s="22"/>
      <c r="V47" s="23"/>
      <c r="W47" s="23">
        <f>+SUM(W5,W7,W9,W11,W13,W15,W17,W19,W21,W23,W25,W27,W29,W31,W33,W35,W37,W39,W41,W43,W45)</f>
        <v>0</v>
      </c>
      <c r="X47" s="22"/>
      <c r="Z47" s="671"/>
      <c r="AA47" s="672" t="s">
        <v>11</v>
      </c>
      <c r="AB47" s="22"/>
      <c r="AC47" s="22"/>
      <c r="AD47" s="23"/>
      <c r="AE47" s="23">
        <f>+SUM(AE5,AE7,AE9,AE11,AE13,AE15,AE17,AE19,AE21,AE23,AE25,AE27,AE29,AE31,AE33,AE35,AE37,AE39,AE41,AE43,AE45)</f>
        <v>0</v>
      </c>
      <c r="AF47" s="22"/>
      <c r="AH47" s="671"/>
      <c r="AI47" s="672" t="s">
        <v>11</v>
      </c>
      <c r="AJ47" s="22"/>
      <c r="AK47" s="22"/>
      <c r="AL47" s="23"/>
      <c r="AM47" s="23">
        <f>+SUM(AM5,AM7,AM9,AM11,AM13,AM15,AM17,AM19,AM21,AM23,AM25,AM27,AM29,AM31,AM33,AM35,AM37,AM39,AM41,AM43,AM45)</f>
        <v>0</v>
      </c>
      <c r="AN47" s="22"/>
      <c r="AP47" s="671"/>
      <c r="AQ47" s="672" t="s">
        <v>11</v>
      </c>
      <c r="AR47" s="22"/>
      <c r="AS47" s="22"/>
      <c r="AT47" s="23"/>
      <c r="AU47" s="23">
        <f>+SUM(AU5,AU7,AU9,AU11,AU13,AU15,AU17,AU19,AU21,AU23,AU25,AU27,AU29,AU31,AU33,AU35,AU37,AU39,AU41,AU43,AU45)</f>
        <v>0</v>
      </c>
      <c r="AV47" s="22"/>
      <c r="AX47" s="671"/>
      <c r="AY47" s="672" t="s">
        <v>11</v>
      </c>
      <c r="AZ47" s="22"/>
      <c r="BA47" s="22"/>
      <c r="BB47" s="23"/>
      <c r="BC47" s="23">
        <f>+SUM(BC5,BC7,BC9,BC11,BC13,BC15,BC17,BC19,BC21,BC23,BC25,BC27,BC29,BC31,BC33,BC35,BC37,BC39,BC41,BC43,BC45)</f>
        <v>0</v>
      </c>
      <c r="BD47" s="22"/>
      <c r="BF47" s="671"/>
      <c r="BG47" s="672" t="s">
        <v>11</v>
      </c>
      <c r="BH47" s="22"/>
      <c r="BI47" s="22"/>
      <c r="BJ47" s="23"/>
      <c r="BK47" s="23">
        <f>+SUM(BK5,BK7,BK9,BK11,BK13,BK15,BK17,BK19,BK21,BK23,BK25,BK27,BK29,BK31,BK33,BK35,BK37,BK39,BK41,BK43,BK45)</f>
        <v>0</v>
      </c>
      <c r="BL47" s="22"/>
      <c r="BN47" s="671"/>
      <c r="BO47" s="672" t="s">
        <v>11</v>
      </c>
      <c r="BP47" s="22"/>
      <c r="BQ47" s="22"/>
      <c r="BR47" s="23"/>
      <c r="BS47" s="23">
        <f>+SUM(BS5,BS7,BS9,BS11,BS13,BS15,BS17,BS19,BS21,BS23,BS25,BS27,BS29,BS31,BS33,BS35,BS37,BS39,BS41,BS43,BS45)</f>
        <v>0</v>
      </c>
      <c r="BT47" s="22"/>
    </row>
    <row r="48" spans="2:72">
      <c r="B48" s="662"/>
      <c r="C48" s="673"/>
      <c r="D48" s="12"/>
      <c r="E48" s="12"/>
      <c r="F48" s="13"/>
      <c r="G48" s="35">
        <f>+SUM(G6,G8,G10,G12,G14,G16,G18,G20,G22,G24,G26,G28,G30,G32,G34,G36,G38,G40,G42,G44,G46)</f>
        <v>0</v>
      </c>
      <c r="H48" s="12"/>
      <c r="J48" s="662"/>
      <c r="K48" s="673"/>
      <c r="L48" s="12"/>
      <c r="M48" s="12"/>
      <c r="N48" s="13"/>
      <c r="O48" s="35">
        <f>+SUM(O6,O8,O10,O12,O14,O16,O18,O20,O22,O24,O26,O28,O30,O32,O34,O36,O38,O40,O42,O44,O46)</f>
        <v>0</v>
      </c>
      <c r="P48" s="12"/>
      <c r="R48" s="662"/>
      <c r="S48" s="673"/>
      <c r="T48" s="12"/>
      <c r="U48" s="12"/>
      <c r="V48" s="13"/>
      <c r="W48" s="35">
        <f>+SUM(W6,W8,W10,W12,W14,W16,W18,W20,W22,W24,W26,W28,W30,W32,W34,W36,W38,W40,W42,W44,W46)</f>
        <v>0</v>
      </c>
      <c r="X48" s="12"/>
      <c r="Z48" s="662"/>
      <c r="AA48" s="673"/>
      <c r="AB48" s="12"/>
      <c r="AC48" s="12"/>
      <c r="AD48" s="13"/>
      <c r="AE48" s="35">
        <f>+SUM(AE6,AE8,AE10,AE12,AE14,AE16,AE18,AE20,AE22,AE24,AE26,AE28,AE30,AE32,AE34,AE36,AE38,AE40,AE42,AE44,AE46)</f>
        <v>0</v>
      </c>
      <c r="AF48" s="12"/>
      <c r="AH48" s="662"/>
      <c r="AI48" s="673"/>
      <c r="AJ48" s="12"/>
      <c r="AK48" s="12"/>
      <c r="AL48" s="13"/>
      <c r="AM48" s="35">
        <f>+SUM(AM6,AM8,AM10,AM12,AM14,AM16,AM18,AM20,AM22,AM24,AM26,AM28,AM30,AM32,AM34,AM36,AM38,AM40,AM42,AM44,AM46)</f>
        <v>0</v>
      </c>
      <c r="AN48" s="12"/>
      <c r="AP48" s="662"/>
      <c r="AQ48" s="673"/>
      <c r="AR48" s="12"/>
      <c r="AS48" s="12"/>
      <c r="AT48" s="13"/>
      <c r="AU48" s="35">
        <f>+SUM(AU6,AU8,AU10,AU12,AU14,AU16,AU18,AU20,AU22,AU24,AU26,AU28,AU30,AU32,AU34,AU36,AU38,AU40,AU42,AU44,AU46)</f>
        <v>0</v>
      </c>
      <c r="AV48" s="12"/>
      <c r="AX48" s="662"/>
      <c r="AY48" s="673"/>
      <c r="AZ48" s="12"/>
      <c r="BA48" s="12"/>
      <c r="BB48" s="13"/>
      <c r="BC48" s="35">
        <f>+SUM(BC6,BC8,BC10,BC12,BC14,BC16,BC18,BC20,BC22,BC24,BC26,BC28,BC30,BC32,BC34,BC36,BC38,BC40,BC42,BC44,BC46)</f>
        <v>0</v>
      </c>
      <c r="BD48" s="12"/>
      <c r="BF48" s="662"/>
      <c r="BG48" s="673"/>
      <c r="BH48" s="12"/>
      <c r="BI48" s="12"/>
      <c r="BJ48" s="13"/>
      <c r="BK48" s="35">
        <f>+SUM(BK6,BK8,BK10,BK12,BK14,BK16,BK18,BK20,BK22,BK24,BK26,BK28,BK30,BK32,BK34,BK36,BK38,BK40,BK42,BK44,BK46)</f>
        <v>0</v>
      </c>
      <c r="BL48" s="12"/>
      <c r="BN48" s="662"/>
      <c r="BO48" s="673"/>
      <c r="BP48" s="12"/>
      <c r="BQ48" s="12"/>
      <c r="BR48" s="13"/>
      <c r="BS48" s="35">
        <f>+SUM(BS6,BS8,BS10,BS12,BS14,BS16,BS18,BS20,BS22,BS24,BS26,BS28,BS30,BS32,BS34,BS36,BS38,BS40,BS42,BS44,BS46)</f>
        <v>0</v>
      </c>
      <c r="BT48" s="12"/>
    </row>
    <row r="49" spans="2:8">
      <c r="B49" s="14"/>
      <c r="C49" s="14"/>
      <c r="D49" s="14"/>
      <c r="E49" s="14"/>
      <c r="F49" s="15"/>
      <c r="G49" s="15"/>
      <c r="H49" s="14"/>
    </row>
  </sheetData>
  <mergeCells count="432">
    <mergeCell ref="N2:O3"/>
    <mergeCell ref="P2:P3"/>
    <mergeCell ref="R2:S3"/>
    <mergeCell ref="T2:U3"/>
    <mergeCell ref="V2:W3"/>
    <mergeCell ref="X2:X3"/>
    <mergeCell ref="B2:C3"/>
    <mergeCell ref="D2:E3"/>
    <mergeCell ref="F2:G3"/>
    <mergeCell ref="H2:H3"/>
    <mergeCell ref="J2:K3"/>
    <mergeCell ref="L2:M3"/>
    <mergeCell ref="AL2:AM3"/>
    <mergeCell ref="AN2:AN3"/>
    <mergeCell ref="AP2:AQ3"/>
    <mergeCell ref="AR2:AS3"/>
    <mergeCell ref="AT2:AU3"/>
    <mergeCell ref="AV2:AV3"/>
    <mergeCell ref="Z2:AA3"/>
    <mergeCell ref="AB2:AC3"/>
    <mergeCell ref="AD2:AE3"/>
    <mergeCell ref="AF2:AF3"/>
    <mergeCell ref="AH2:AI3"/>
    <mergeCell ref="AJ2:AK3"/>
    <mergeCell ref="BJ2:BK3"/>
    <mergeCell ref="BL2:BL3"/>
    <mergeCell ref="BN2:BO3"/>
    <mergeCell ref="BP2:BQ3"/>
    <mergeCell ref="BR2:BS3"/>
    <mergeCell ref="BT2:BT3"/>
    <mergeCell ref="AX2:AY3"/>
    <mergeCell ref="AZ2:BA3"/>
    <mergeCell ref="BB2:BC3"/>
    <mergeCell ref="BD2:BD3"/>
    <mergeCell ref="BF2:BG3"/>
    <mergeCell ref="BH2:BI3"/>
    <mergeCell ref="BG5:BG6"/>
    <mergeCell ref="BN5:BN6"/>
    <mergeCell ref="BO5:BO6"/>
    <mergeCell ref="Z5:Z6"/>
    <mergeCell ref="AA5:AA6"/>
    <mergeCell ref="AH5:AH6"/>
    <mergeCell ref="AI5:AI6"/>
    <mergeCell ref="AP5:AP6"/>
    <mergeCell ref="AQ5:AQ6"/>
    <mergeCell ref="B7:B8"/>
    <mergeCell ref="C7:C8"/>
    <mergeCell ref="J7:J8"/>
    <mergeCell ref="K7:K8"/>
    <mergeCell ref="R7:R8"/>
    <mergeCell ref="S7:S8"/>
    <mergeCell ref="AX5:AX6"/>
    <mergeCell ref="AY5:AY6"/>
    <mergeCell ref="BF5:BF6"/>
    <mergeCell ref="B5:B6"/>
    <mergeCell ref="C5:C6"/>
    <mergeCell ref="J5:J6"/>
    <mergeCell ref="K5:K6"/>
    <mergeCell ref="R5:R6"/>
    <mergeCell ref="S5:S6"/>
    <mergeCell ref="AX7:AX8"/>
    <mergeCell ref="AY7:AY8"/>
    <mergeCell ref="BF7:BF8"/>
    <mergeCell ref="BG7:BG8"/>
    <mergeCell ref="BN7:BN8"/>
    <mergeCell ref="BO7:BO8"/>
    <mergeCell ref="Z7:Z8"/>
    <mergeCell ref="AA7:AA8"/>
    <mergeCell ref="AH7:AH8"/>
    <mergeCell ref="AI7:AI8"/>
    <mergeCell ref="AP7:AP8"/>
    <mergeCell ref="AQ7:AQ8"/>
    <mergeCell ref="BG9:BG10"/>
    <mergeCell ref="BN9:BN10"/>
    <mergeCell ref="BO9:BO10"/>
    <mergeCell ref="Z9:Z10"/>
    <mergeCell ref="AA9:AA10"/>
    <mergeCell ref="AH9:AH10"/>
    <mergeCell ref="AI9:AI10"/>
    <mergeCell ref="AP9:AP10"/>
    <mergeCell ref="AQ9:AQ10"/>
    <mergeCell ref="B11:B12"/>
    <mergeCell ref="C11:C12"/>
    <mergeCell ref="J11:J12"/>
    <mergeCell ref="K11:K12"/>
    <mergeCell ref="R11:R12"/>
    <mergeCell ref="S11:S12"/>
    <mergeCell ref="AX9:AX10"/>
    <mergeCell ref="AY9:AY10"/>
    <mergeCell ref="BF9:BF10"/>
    <mergeCell ref="B9:B10"/>
    <mergeCell ref="C9:C10"/>
    <mergeCell ref="J9:J10"/>
    <mergeCell ref="K9:K10"/>
    <mergeCell ref="R9:R10"/>
    <mergeCell ref="S9:S10"/>
    <mergeCell ref="AX11:AX12"/>
    <mergeCell ref="AY11:AY12"/>
    <mergeCell ref="BF11:BF12"/>
    <mergeCell ref="BG11:BG12"/>
    <mergeCell ref="BN11:BN12"/>
    <mergeCell ref="BO11:BO12"/>
    <mergeCell ref="Z11:Z12"/>
    <mergeCell ref="AA11:AA12"/>
    <mergeCell ref="AH11:AH12"/>
    <mergeCell ref="AI11:AI12"/>
    <mergeCell ref="AP11:AP12"/>
    <mergeCell ref="AQ11:AQ12"/>
    <mergeCell ref="BG13:BG14"/>
    <mergeCell ref="BN13:BN14"/>
    <mergeCell ref="BO13:BO14"/>
    <mergeCell ref="Z13:Z14"/>
    <mergeCell ref="AA13:AA14"/>
    <mergeCell ref="AH13:AH14"/>
    <mergeCell ref="AI13:AI14"/>
    <mergeCell ref="AP13:AP14"/>
    <mergeCell ref="AQ13:AQ14"/>
    <mergeCell ref="B15:B16"/>
    <mergeCell ref="C15:C16"/>
    <mergeCell ref="J15:J16"/>
    <mergeCell ref="K15:K16"/>
    <mergeCell ref="R15:R16"/>
    <mergeCell ref="S15:S16"/>
    <mergeCell ref="AX13:AX14"/>
    <mergeCell ref="AY13:AY14"/>
    <mergeCell ref="BF13:BF14"/>
    <mergeCell ref="B13:B14"/>
    <mergeCell ref="C13:C14"/>
    <mergeCell ref="J13:J14"/>
    <mergeCell ref="K13:K14"/>
    <mergeCell ref="R13:R14"/>
    <mergeCell ref="S13:S14"/>
    <mergeCell ref="AX15:AX16"/>
    <mergeCell ref="AY15:AY16"/>
    <mergeCell ref="BF15:BF16"/>
    <mergeCell ref="BG15:BG16"/>
    <mergeCell ref="BN15:BN16"/>
    <mergeCell ref="BO15:BO16"/>
    <mergeCell ref="Z15:Z16"/>
    <mergeCell ref="AA15:AA16"/>
    <mergeCell ref="AH15:AH16"/>
    <mergeCell ref="AI15:AI16"/>
    <mergeCell ref="AP15:AP16"/>
    <mergeCell ref="AQ15:AQ16"/>
    <mergeCell ref="BG17:BG18"/>
    <mergeCell ref="BN17:BN18"/>
    <mergeCell ref="BO17:BO18"/>
    <mergeCell ref="Z17:Z18"/>
    <mergeCell ref="AA17:AA18"/>
    <mergeCell ref="AH17:AH18"/>
    <mergeCell ref="AI17:AI18"/>
    <mergeCell ref="AP17:AP18"/>
    <mergeCell ref="AQ17:AQ18"/>
    <mergeCell ref="B19:B20"/>
    <mergeCell ref="C19:C20"/>
    <mergeCell ref="J19:J20"/>
    <mergeCell ref="K19:K20"/>
    <mergeCell ref="R19:R20"/>
    <mergeCell ref="S19:S20"/>
    <mergeCell ref="AX17:AX18"/>
    <mergeCell ref="AY17:AY18"/>
    <mergeCell ref="BF17:BF18"/>
    <mergeCell ref="B17:B18"/>
    <mergeCell ref="C17:C18"/>
    <mergeCell ref="J17:J18"/>
    <mergeCell ref="K17:K18"/>
    <mergeCell ref="R17:R18"/>
    <mergeCell ref="S17:S18"/>
    <mergeCell ref="AX19:AX20"/>
    <mergeCell ref="AY19:AY20"/>
    <mergeCell ref="BF19:BF20"/>
    <mergeCell ref="BG19:BG20"/>
    <mergeCell ref="BN19:BN20"/>
    <mergeCell ref="BO19:BO20"/>
    <mergeCell ref="Z19:Z20"/>
    <mergeCell ref="AA19:AA20"/>
    <mergeCell ref="AH19:AH20"/>
    <mergeCell ref="AI19:AI20"/>
    <mergeCell ref="AP19:AP20"/>
    <mergeCell ref="AQ19:AQ20"/>
    <mergeCell ref="BG21:BG22"/>
    <mergeCell ref="BN21:BN22"/>
    <mergeCell ref="BO21:BO22"/>
    <mergeCell ref="Z21:Z22"/>
    <mergeCell ref="AA21:AA22"/>
    <mergeCell ref="AH21:AH22"/>
    <mergeCell ref="AI21:AI22"/>
    <mergeCell ref="AP21:AP22"/>
    <mergeCell ref="AQ21:AQ22"/>
    <mergeCell ref="B23:B24"/>
    <mergeCell ref="C23:C24"/>
    <mergeCell ref="J23:J24"/>
    <mergeCell ref="K23:K24"/>
    <mergeCell ref="R23:R24"/>
    <mergeCell ref="S23:S24"/>
    <mergeCell ref="AX21:AX22"/>
    <mergeCell ref="AY21:AY22"/>
    <mergeCell ref="BF21:BF22"/>
    <mergeCell ref="B21:B22"/>
    <mergeCell ref="C21:C22"/>
    <mergeCell ref="J21:J22"/>
    <mergeCell ref="K21:K22"/>
    <mergeCell ref="R21:R22"/>
    <mergeCell ref="S21:S22"/>
    <mergeCell ref="AX23:AX24"/>
    <mergeCell ref="AY23:AY24"/>
    <mergeCell ref="BF23:BF24"/>
    <mergeCell ref="BG23:BG24"/>
    <mergeCell ref="BN23:BN24"/>
    <mergeCell ref="BO23:BO24"/>
    <mergeCell ref="Z23:Z24"/>
    <mergeCell ref="AA23:AA24"/>
    <mergeCell ref="AH23:AH24"/>
    <mergeCell ref="AI23:AI24"/>
    <mergeCell ref="AP23:AP24"/>
    <mergeCell ref="AQ23:AQ24"/>
    <mergeCell ref="BG25:BG26"/>
    <mergeCell ref="BN25:BN26"/>
    <mergeCell ref="BO25:BO26"/>
    <mergeCell ref="Z25:Z26"/>
    <mergeCell ref="AA25:AA26"/>
    <mergeCell ref="AH25:AH26"/>
    <mergeCell ref="AI25:AI26"/>
    <mergeCell ref="AP25:AP26"/>
    <mergeCell ref="AQ25:AQ26"/>
    <mergeCell ref="B27:B28"/>
    <mergeCell ref="C27:C28"/>
    <mergeCell ref="J27:J28"/>
    <mergeCell ref="K27:K28"/>
    <mergeCell ref="R27:R28"/>
    <mergeCell ref="S27:S28"/>
    <mergeCell ref="AX25:AX26"/>
    <mergeCell ref="AY25:AY26"/>
    <mergeCell ref="BF25:BF26"/>
    <mergeCell ref="B25:B26"/>
    <mergeCell ref="C25:C26"/>
    <mergeCell ref="J25:J26"/>
    <mergeCell ref="K25:K26"/>
    <mergeCell ref="R25:R26"/>
    <mergeCell ref="S25:S26"/>
    <mergeCell ref="AX27:AX28"/>
    <mergeCell ref="AY27:AY28"/>
    <mergeCell ref="BF27:BF28"/>
    <mergeCell ref="BG27:BG28"/>
    <mergeCell ref="BN27:BN28"/>
    <mergeCell ref="BO27:BO28"/>
    <mergeCell ref="Z27:Z28"/>
    <mergeCell ref="AA27:AA28"/>
    <mergeCell ref="AH27:AH28"/>
    <mergeCell ref="AI27:AI28"/>
    <mergeCell ref="AP27:AP28"/>
    <mergeCell ref="AQ27:AQ28"/>
    <mergeCell ref="BG29:BG30"/>
    <mergeCell ref="BN29:BN30"/>
    <mergeCell ref="BO29:BO30"/>
    <mergeCell ref="Z29:Z30"/>
    <mergeCell ref="AA29:AA30"/>
    <mergeCell ref="AH29:AH30"/>
    <mergeCell ref="AI29:AI30"/>
    <mergeCell ref="AP29:AP30"/>
    <mergeCell ref="AQ29:AQ30"/>
    <mergeCell ref="B31:B32"/>
    <mergeCell ref="C31:C32"/>
    <mergeCell ref="J31:J32"/>
    <mergeCell ref="K31:K32"/>
    <mergeCell ref="R31:R32"/>
    <mergeCell ref="S31:S32"/>
    <mergeCell ref="AX29:AX30"/>
    <mergeCell ref="AY29:AY30"/>
    <mergeCell ref="BF29:BF30"/>
    <mergeCell ref="B29:B30"/>
    <mergeCell ref="C29:C30"/>
    <mergeCell ref="J29:J30"/>
    <mergeCell ref="K29:K30"/>
    <mergeCell ref="R29:R30"/>
    <mergeCell ref="S29:S30"/>
    <mergeCell ref="AX31:AX32"/>
    <mergeCell ref="AY31:AY32"/>
    <mergeCell ref="BF31:BF32"/>
    <mergeCell ref="BG31:BG32"/>
    <mergeCell ref="BN31:BN32"/>
    <mergeCell ref="BO31:BO32"/>
    <mergeCell ref="Z31:Z32"/>
    <mergeCell ref="AA31:AA32"/>
    <mergeCell ref="AH31:AH32"/>
    <mergeCell ref="AI31:AI32"/>
    <mergeCell ref="AP31:AP32"/>
    <mergeCell ref="AQ31:AQ32"/>
    <mergeCell ref="BG33:BG34"/>
    <mergeCell ref="BN33:BN34"/>
    <mergeCell ref="BO33:BO34"/>
    <mergeCell ref="Z33:Z34"/>
    <mergeCell ref="AA33:AA34"/>
    <mergeCell ref="AH33:AH34"/>
    <mergeCell ref="AI33:AI34"/>
    <mergeCell ref="AP33:AP34"/>
    <mergeCell ref="AQ33:AQ34"/>
    <mergeCell ref="B35:B36"/>
    <mergeCell ref="C35:C36"/>
    <mergeCell ref="J35:J36"/>
    <mergeCell ref="K35:K36"/>
    <mergeCell ref="R35:R36"/>
    <mergeCell ref="S35:S36"/>
    <mergeCell ref="AX33:AX34"/>
    <mergeCell ref="AY33:AY34"/>
    <mergeCell ref="BF33:BF34"/>
    <mergeCell ref="B33:B34"/>
    <mergeCell ref="C33:C34"/>
    <mergeCell ref="J33:J34"/>
    <mergeCell ref="K33:K34"/>
    <mergeCell ref="R33:R34"/>
    <mergeCell ref="S33:S34"/>
    <mergeCell ref="AX35:AX36"/>
    <mergeCell ref="AY35:AY36"/>
    <mergeCell ref="BF35:BF36"/>
    <mergeCell ref="BG35:BG36"/>
    <mergeCell ref="BN35:BN36"/>
    <mergeCell ref="BO35:BO36"/>
    <mergeCell ref="Z35:Z36"/>
    <mergeCell ref="AA35:AA36"/>
    <mergeCell ref="AH35:AH36"/>
    <mergeCell ref="AI35:AI36"/>
    <mergeCell ref="AP35:AP36"/>
    <mergeCell ref="AQ35:AQ36"/>
    <mergeCell ref="BG37:BG38"/>
    <mergeCell ref="BN37:BN38"/>
    <mergeCell ref="BO37:BO38"/>
    <mergeCell ref="Z37:Z38"/>
    <mergeCell ref="AA37:AA38"/>
    <mergeCell ref="AH37:AH38"/>
    <mergeCell ref="AI37:AI38"/>
    <mergeCell ref="AP37:AP38"/>
    <mergeCell ref="AQ37:AQ38"/>
    <mergeCell ref="B39:B40"/>
    <mergeCell ref="C39:C40"/>
    <mergeCell ref="J39:J40"/>
    <mergeCell ref="K39:K40"/>
    <mergeCell ref="R39:R40"/>
    <mergeCell ref="S39:S40"/>
    <mergeCell ref="AX37:AX38"/>
    <mergeCell ref="AY37:AY38"/>
    <mergeCell ref="BF37:BF38"/>
    <mergeCell ref="B37:B38"/>
    <mergeCell ref="C37:C38"/>
    <mergeCell ref="J37:J38"/>
    <mergeCell ref="K37:K38"/>
    <mergeCell ref="R37:R38"/>
    <mergeCell ref="S37:S38"/>
    <mergeCell ref="AX39:AX40"/>
    <mergeCell ref="AY39:AY40"/>
    <mergeCell ref="BF39:BF40"/>
    <mergeCell ref="BG39:BG40"/>
    <mergeCell ref="BN39:BN40"/>
    <mergeCell ref="BO39:BO40"/>
    <mergeCell ref="Z39:Z40"/>
    <mergeCell ref="AA39:AA40"/>
    <mergeCell ref="AH39:AH40"/>
    <mergeCell ref="AI39:AI40"/>
    <mergeCell ref="AP39:AP40"/>
    <mergeCell ref="AQ39:AQ40"/>
    <mergeCell ref="BG41:BG42"/>
    <mergeCell ref="BN41:BN42"/>
    <mergeCell ref="BO41:BO42"/>
    <mergeCell ref="Z41:Z42"/>
    <mergeCell ref="AA41:AA42"/>
    <mergeCell ref="AH41:AH42"/>
    <mergeCell ref="AI41:AI42"/>
    <mergeCell ref="AP41:AP42"/>
    <mergeCell ref="AQ41:AQ42"/>
    <mergeCell ref="B43:B44"/>
    <mergeCell ref="C43:C44"/>
    <mergeCell ref="J43:J44"/>
    <mergeCell ref="K43:K44"/>
    <mergeCell ref="R43:R44"/>
    <mergeCell ref="S43:S44"/>
    <mergeCell ref="AX41:AX42"/>
    <mergeCell ref="AY41:AY42"/>
    <mergeCell ref="BF41:BF42"/>
    <mergeCell ref="B41:B42"/>
    <mergeCell ref="C41:C42"/>
    <mergeCell ref="J41:J42"/>
    <mergeCell ref="K41:K42"/>
    <mergeCell ref="R41:R42"/>
    <mergeCell ref="S41:S42"/>
    <mergeCell ref="AX43:AX44"/>
    <mergeCell ref="AY43:AY44"/>
    <mergeCell ref="BF43:BF44"/>
    <mergeCell ref="BG43:BG44"/>
    <mergeCell ref="BN43:BN44"/>
    <mergeCell ref="BO43:BO44"/>
    <mergeCell ref="Z43:Z44"/>
    <mergeCell ref="AA43:AA44"/>
    <mergeCell ref="AH43:AH44"/>
    <mergeCell ref="AI43:AI44"/>
    <mergeCell ref="AP43:AP44"/>
    <mergeCell ref="AQ43:AQ44"/>
    <mergeCell ref="BG45:BG46"/>
    <mergeCell ref="BN45:BN46"/>
    <mergeCell ref="BO45:BO46"/>
    <mergeCell ref="Z45:Z46"/>
    <mergeCell ref="AA45:AA46"/>
    <mergeCell ref="AH45:AH46"/>
    <mergeCell ref="AI45:AI46"/>
    <mergeCell ref="AP45:AP46"/>
    <mergeCell ref="AQ45:AQ46"/>
    <mergeCell ref="B47:B48"/>
    <mergeCell ref="C47:C48"/>
    <mergeCell ref="J47:J48"/>
    <mergeCell ref="K47:K48"/>
    <mergeCell ref="R47:R48"/>
    <mergeCell ref="S47:S48"/>
    <mergeCell ref="AX45:AX46"/>
    <mergeCell ref="AY45:AY46"/>
    <mergeCell ref="BF45:BF46"/>
    <mergeCell ref="B45:B46"/>
    <mergeCell ref="C45:C46"/>
    <mergeCell ref="J45:J46"/>
    <mergeCell ref="K45:K46"/>
    <mergeCell ref="R45:R46"/>
    <mergeCell ref="S45:S46"/>
    <mergeCell ref="AX47:AX48"/>
    <mergeCell ref="AY47:AY48"/>
    <mergeCell ref="BF47:BF48"/>
    <mergeCell ref="BG47:BG48"/>
    <mergeCell ref="BN47:BN48"/>
    <mergeCell ref="BO47:BO48"/>
    <mergeCell ref="Z47:Z48"/>
    <mergeCell ref="AA47:AA48"/>
    <mergeCell ref="AH47:AH48"/>
    <mergeCell ref="AI47:AI48"/>
    <mergeCell ref="AP47:AP48"/>
    <mergeCell ref="AQ47:AQ48"/>
  </mergeCells>
  <phoneticPr fontId="3"/>
  <hyperlinks>
    <hyperlink ref="A1" location="menu!A1" display="menu" xr:uid="{00000000-0004-0000-1800-000000000000}"/>
  </hyperlinks>
  <printOptions horizontalCentered="1"/>
  <pageMargins left="0.78740157480314965" right="0.19685039370078741" top="0.74803149606299213" bottom="0.74803149606299213" header="0.31496062992125984" footer="0.31496062992125984"/>
  <pageSetup paperSize="9"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V55"/>
  <sheetViews>
    <sheetView showGridLines="0" showZeros="0" view="pageBreakPreview" zoomScale="85" zoomScaleNormal="100" zoomScaleSheetLayoutView="85" workbookViewId="0">
      <selection activeCell="V19" sqref="V19"/>
    </sheetView>
  </sheetViews>
  <sheetFormatPr defaultRowHeight="18.75"/>
  <cols>
    <col min="2" max="2" width="20.625" customWidth="1"/>
    <col min="3" max="7" width="12.625" customWidth="1"/>
    <col min="8" max="8" width="16.625" customWidth="1"/>
    <col min="9" max="9" width="2.625" customWidth="1"/>
    <col min="10" max="10" width="20.625" hidden="1" customWidth="1"/>
    <col min="11" max="17" width="8.625" hidden="1" customWidth="1"/>
    <col min="18" max="18" width="20.625" hidden="1" customWidth="1"/>
    <col min="19" max="19" width="2.625" customWidth="1"/>
    <col min="20" max="20" width="20.625" customWidth="1"/>
    <col min="21" max="27" width="8.625" customWidth="1"/>
    <col min="28" max="28" width="20.625" customWidth="1"/>
    <col min="29" max="29" width="2.625" hidden="1" customWidth="1"/>
    <col min="30" max="30" width="20.625" hidden="1" customWidth="1"/>
    <col min="31" max="37" width="8.625" hidden="1" customWidth="1"/>
    <col min="38" max="38" width="20.625" hidden="1" customWidth="1"/>
    <col min="39" max="39" width="2.625" hidden="1" customWidth="1"/>
    <col min="40" max="40" width="20.625" hidden="1" customWidth="1"/>
    <col min="41" max="47" width="8.625" hidden="1" customWidth="1"/>
    <col min="48" max="48" width="20.625" hidden="1" customWidth="1"/>
  </cols>
  <sheetData>
    <row r="1" spans="1:48">
      <c r="A1" s="298" t="s">
        <v>476</v>
      </c>
    </row>
    <row r="2" spans="1:48">
      <c r="B2" s="16"/>
      <c r="C2" s="702" t="s">
        <v>86</v>
      </c>
      <c r="D2" s="675"/>
      <c r="E2" s="675"/>
      <c r="F2" s="675"/>
      <c r="G2" s="675"/>
      <c r="H2" s="703" t="s">
        <v>9</v>
      </c>
      <c r="J2" s="16"/>
      <c r="K2" s="702" t="s">
        <v>84</v>
      </c>
      <c r="L2" s="675"/>
      <c r="M2" s="675"/>
      <c r="N2" s="675"/>
      <c r="O2" s="675"/>
      <c r="P2" s="675"/>
      <c r="Q2" s="675"/>
      <c r="R2" s="703" t="s">
        <v>9</v>
      </c>
      <c r="T2" s="16"/>
      <c r="U2" s="702" t="s">
        <v>58</v>
      </c>
      <c r="V2" s="675"/>
      <c r="W2" s="675"/>
      <c r="X2" s="675"/>
      <c r="Y2" s="675"/>
      <c r="Z2" s="675"/>
      <c r="AA2" s="675"/>
      <c r="AB2" s="703" t="s">
        <v>9</v>
      </c>
      <c r="AD2" s="16"/>
      <c r="AE2" s="702" t="s">
        <v>67</v>
      </c>
      <c r="AF2" s="675"/>
      <c r="AG2" s="675"/>
      <c r="AH2" s="675"/>
      <c r="AI2" s="675"/>
      <c r="AJ2" s="675"/>
      <c r="AK2" s="675"/>
      <c r="AL2" s="703" t="s">
        <v>9</v>
      </c>
      <c r="AN2" s="16"/>
      <c r="AO2" s="702" t="s">
        <v>66</v>
      </c>
      <c r="AP2" s="675"/>
      <c r="AQ2" s="675"/>
      <c r="AR2" s="675"/>
      <c r="AS2" s="675"/>
      <c r="AT2" s="675"/>
      <c r="AU2" s="675"/>
      <c r="AV2" s="703" t="s">
        <v>9</v>
      </c>
    </row>
    <row r="3" spans="1:48">
      <c r="B3" s="19"/>
      <c r="C3" s="677"/>
      <c r="D3" s="677"/>
      <c r="E3" s="677"/>
      <c r="F3" s="677"/>
      <c r="G3" s="677"/>
      <c r="H3" s="704"/>
      <c r="J3" s="19"/>
      <c r="K3" s="677"/>
      <c r="L3" s="677"/>
      <c r="M3" s="677"/>
      <c r="N3" s="677"/>
      <c r="O3" s="677"/>
      <c r="P3" s="677"/>
      <c r="Q3" s="677"/>
      <c r="R3" s="704"/>
      <c r="T3" s="19"/>
      <c r="U3" s="677"/>
      <c r="V3" s="677"/>
      <c r="W3" s="677"/>
      <c r="X3" s="677"/>
      <c r="Y3" s="677"/>
      <c r="Z3" s="677"/>
      <c r="AA3" s="677"/>
      <c r="AB3" s="704"/>
      <c r="AD3" s="19"/>
      <c r="AE3" s="677"/>
      <c r="AF3" s="677"/>
      <c r="AG3" s="677"/>
      <c r="AH3" s="677"/>
      <c r="AI3" s="677"/>
      <c r="AJ3" s="677"/>
      <c r="AK3" s="677"/>
      <c r="AL3" s="704"/>
      <c r="AN3" s="19"/>
      <c r="AO3" s="677"/>
      <c r="AP3" s="677"/>
      <c r="AQ3" s="677"/>
      <c r="AR3" s="677"/>
      <c r="AS3" s="677"/>
      <c r="AT3" s="677"/>
      <c r="AU3" s="677"/>
      <c r="AV3" s="704"/>
    </row>
    <row r="4" spans="1:48">
      <c r="B4" s="705" t="s">
        <v>85</v>
      </c>
      <c r="C4" s="705" t="s">
        <v>25</v>
      </c>
      <c r="D4" s="705" t="s">
        <v>24</v>
      </c>
      <c r="E4" s="705" t="s">
        <v>26</v>
      </c>
      <c r="F4" s="705" t="s">
        <v>30</v>
      </c>
      <c r="G4" s="705"/>
      <c r="H4" s="705" t="s">
        <v>8</v>
      </c>
      <c r="J4" s="705" t="s">
        <v>68</v>
      </c>
      <c r="K4" s="48" t="s">
        <v>70</v>
      </c>
      <c r="L4" s="49" t="s">
        <v>50</v>
      </c>
      <c r="M4" s="49" t="s">
        <v>4</v>
      </c>
      <c r="N4" s="49" t="s">
        <v>72</v>
      </c>
      <c r="O4" s="707" t="s">
        <v>73</v>
      </c>
      <c r="P4" s="708"/>
      <c r="Q4" s="709"/>
      <c r="R4" s="710" t="s">
        <v>8</v>
      </c>
      <c r="T4" s="705" t="s">
        <v>59</v>
      </c>
      <c r="U4" s="48" t="s">
        <v>4</v>
      </c>
      <c r="V4" s="49" t="s">
        <v>48</v>
      </c>
      <c r="W4" s="49" t="s">
        <v>49</v>
      </c>
      <c r="X4" s="49" t="s">
        <v>50</v>
      </c>
      <c r="Y4" s="49" t="s">
        <v>51</v>
      </c>
      <c r="Z4" s="707" t="s">
        <v>74</v>
      </c>
      <c r="AA4" s="709"/>
      <c r="AB4" s="710" t="s">
        <v>8</v>
      </c>
      <c r="AD4" s="705" t="s">
        <v>68</v>
      </c>
      <c r="AE4" s="48" t="s">
        <v>70</v>
      </c>
      <c r="AF4" s="49" t="s">
        <v>50</v>
      </c>
      <c r="AG4" s="49" t="s">
        <v>4</v>
      </c>
      <c r="AH4" s="49" t="s">
        <v>72</v>
      </c>
      <c r="AI4" s="707" t="s">
        <v>73</v>
      </c>
      <c r="AJ4" s="708"/>
      <c r="AK4" s="709"/>
      <c r="AL4" s="710" t="s">
        <v>8</v>
      </c>
      <c r="AN4" s="705" t="s">
        <v>59</v>
      </c>
      <c r="AO4" s="48" t="s">
        <v>4</v>
      </c>
      <c r="AP4" s="49" t="s">
        <v>48</v>
      </c>
      <c r="AQ4" s="49" t="s">
        <v>49</v>
      </c>
      <c r="AR4" s="49" t="s">
        <v>50</v>
      </c>
      <c r="AS4" s="49" t="s">
        <v>51</v>
      </c>
      <c r="AT4" s="707" t="s">
        <v>74</v>
      </c>
      <c r="AU4" s="709"/>
      <c r="AV4" s="710" t="s">
        <v>8</v>
      </c>
    </row>
    <row r="5" spans="1:48" ht="19.5" thickBot="1">
      <c r="B5" s="706"/>
      <c r="C5" s="706"/>
      <c r="D5" s="706"/>
      <c r="E5" s="706"/>
      <c r="F5" s="706"/>
      <c r="G5" s="706"/>
      <c r="H5" s="706"/>
      <c r="J5" s="706"/>
      <c r="K5" s="52"/>
      <c r="L5" s="52" t="s">
        <v>71</v>
      </c>
      <c r="M5" s="52"/>
      <c r="N5" s="52"/>
      <c r="O5" s="66" t="s">
        <v>75</v>
      </c>
      <c r="P5" s="33" t="s">
        <v>76</v>
      </c>
      <c r="Q5" s="33" t="s">
        <v>77</v>
      </c>
      <c r="R5" s="706"/>
      <c r="T5" s="706"/>
      <c r="U5" s="52" t="s">
        <v>53</v>
      </c>
      <c r="V5" s="52"/>
      <c r="W5" s="52" t="s">
        <v>53</v>
      </c>
      <c r="X5" s="52" t="s">
        <v>54</v>
      </c>
      <c r="Y5" s="52" t="s">
        <v>55</v>
      </c>
      <c r="Z5" s="33" t="s">
        <v>56</v>
      </c>
      <c r="AA5" s="33" t="s">
        <v>57</v>
      </c>
      <c r="AB5" s="706"/>
      <c r="AD5" s="706"/>
      <c r="AE5" s="52"/>
      <c r="AF5" s="52" t="s">
        <v>71</v>
      </c>
      <c r="AG5" s="52"/>
      <c r="AH5" s="52"/>
      <c r="AI5" s="66" t="s">
        <v>75</v>
      </c>
      <c r="AJ5" s="33" t="s">
        <v>76</v>
      </c>
      <c r="AK5" s="33" t="s">
        <v>77</v>
      </c>
      <c r="AL5" s="706"/>
      <c r="AN5" s="706"/>
      <c r="AO5" s="52" t="s">
        <v>53</v>
      </c>
      <c r="AP5" s="52"/>
      <c r="AQ5" s="52" t="s">
        <v>53</v>
      </c>
      <c r="AR5" s="52" t="s">
        <v>54</v>
      </c>
      <c r="AS5" s="52" t="s">
        <v>55</v>
      </c>
      <c r="AT5" s="33" t="s">
        <v>56</v>
      </c>
      <c r="AU5" s="33" t="s">
        <v>57</v>
      </c>
      <c r="AV5" s="706"/>
    </row>
    <row r="6" spans="1:48" ht="19.5" thickTop="1">
      <c r="B6" s="671" t="s">
        <v>84</v>
      </c>
      <c r="C6" s="86"/>
      <c r="D6" s="86">
        <f>+O47</f>
        <v>0</v>
      </c>
      <c r="E6" s="86">
        <f>+Q47</f>
        <v>0</v>
      </c>
      <c r="F6" s="86">
        <f>+M47</f>
        <v>0</v>
      </c>
      <c r="G6" s="86"/>
      <c r="H6" s="165"/>
      <c r="J6" s="692"/>
      <c r="K6" s="700"/>
      <c r="L6" s="57"/>
      <c r="M6" s="54"/>
      <c r="N6" s="700"/>
      <c r="O6" s="53"/>
      <c r="P6" s="57"/>
      <c r="Q6" s="57"/>
      <c r="R6" s="167"/>
      <c r="T6" s="692" t="s">
        <v>61</v>
      </c>
      <c r="U6" s="54"/>
      <c r="V6" s="54"/>
      <c r="W6" s="54">
        <f>+IF(V6&gt;0,ROUND(U6*V6,2),U6)</f>
        <v>0</v>
      </c>
      <c r="X6" s="53"/>
      <c r="Y6" s="53"/>
      <c r="Z6" s="57">
        <v>0.42</v>
      </c>
      <c r="AA6" s="57">
        <f>+IF(W6&gt;0,ROUND(W6*Z6,3),0)</f>
        <v>0</v>
      </c>
      <c r="AB6" s="167" t="s">
        <v>936</v>
      </c>
      <c r="AD6" s="692" t="s">
        <v>12</v>
      </c>
      <c r="AE6" s="700">
        <v>7</v>
      </c>
      <c r="AF6" s="57">
        <v>7.0000000000000007E-2</v>
      </c>
      <c r="AG6" s="54"/>
      <c r="AH6" s="700" t="s">
        <v>16</v>
      </c>
      <c r="AI6" s="53">
        <v>0.13700000000000001</v>
      </c>
      <c r="AJ6" s="57">
        <f>+IF(AND(AE6&gt;=1,AE6&lt;=6),ROUND(AG6*AI6,3),0)</f>
        <v>0</v>
      </c>
      <c r="AK6" s="57">
        <f>+IF(AE6=7,ROUND(AG6*AI6,3),0)</f>
        <v>0</v>
      </c>
      <c r="AL6" s="169" t="s">
        <v>65</v>
      </c>
      <c r="AN6" s="692" t="s">
        <v>60</v>
      </c>
      <c r="AO6" s="54"/>
      <c r="AP6" s="54"/>
      <c r="AQ6" s="54">
        <f t="shared" ref="AQ6:AQ11" si="0">+IF(AP6&gt;0,ROUND(AO6*AP6,2),AO6)</f>
        <v>0</v>
      </c>
      <c r="AR6" s="53"/>
      <c r="AS6" s="53"/>
      <c r="AT6" s="57">
        <v>0.17</v>
      </c>
      <c r="AU6" s="57">
        <f>+IF(AQ6&gt;0,ROUND(AQ6*AT6,3),0)</f>
        <v>0</v>
      </c>
      <c r="AV6" s="169" t="s">
        <v>65</v>
      </c>
    </row>
    <row r="7" spans="1:48">
      <c r="B7" s="662"/>
      <c r="C7" s="87"/>
      <c r="D7" s="87">
        <f>+O48</f>
        <v>0</v>
      </c>
      <c r="E7" s="87">
        <f>+Q48</f>
        <v>0</v>
      </c>
      <c r="F7" s="87">
        <f>+M48</f>
        <v>0</v>
      </c>
      <c r="G7" s="87"/>
      <c r="H7" s="166"/>
      <c r="J7" s="693"/>
      <c r="K7" s="701"/>
      <c r="L7" s="58"/>
      <c r="M7" s="56"/>
      <c r="N7" s="701"/>
      <c r="O7" s="395"/>
      <c r="P7" s="59"/>
      <c r="Q7" s="59"/>
      <c r="R7" s="166"/>
      <c r="T7" s="693"/>
      <c r="U7" s="55"/>
      <c r="V7" s="55"/>
      <c r="W7" s="56">
        <f t="shared" ref="W7:W11" si="1">+IF(V7&gt;0,ROUND(U7*V7,2),U7)</f>
        <v>0</v>
      </c>
      <c r="X7" s="9"/>
      <c r="Y7" s="9"/>
      <c r="Z7" s="58"/>
      <c r="AA7" s="59">
        <f>+IF(W7&gt;0,ROUND(W7*Z7,3),0)</f>
        <v>0</v>
      </c>
      <c r="AB7" s="166" t="s">
        <v>774</v>
      </c>
      <c r="AD7" s="693"/>
      <c r="AE7" s="701"/>
      <c r="AF7" s="58"/>
      <c r="AG7" s="56"/>
      <c r="AH7" s="701"/>
      <c r="AI7" s="9"/>
      <c r="AJ7" s="59">
        <f>+IF(AND(AE7&gt;=1,AE7&lt;=6),ROUND(AG7*AI7,3),0)</f>
        <v>0</v>
      </c>
      <c r="AK7" s="59">
        <f>+IF(AE7=7,ROUND(AG7*AI7,3),0)</f>
        <v>0</v>
      </c>
      <c r="AL7" s="166"/>
      <c r="AN7" s="693"/>
      <c r="AO7" s="55"/>
      <c r="AP7" s="55"/>
      <c r="AQ7" s="56">
        <f t="shared" si="0"/>
        <v>0</v>
      </c>
      <c r="AR7" s="9"/>
      <c r="AS7" s="9"/>
      <c r="AT7" s="58"/>
      <c r="AU7" s="59">
        <f>+IF(AQ7&gt;0,ROUND(AQ7*AT7,3),0)</f>
        <v>0</v>
      </c>
      <c r="AV7" s="166"/>
    </row>
    <row r="8" spans="1:48">
      <c r="B8" s="661" t="s">
        <v>87</v>
      </c>
      <c r="C8" s="88">
        <f>+AA47</f>
        <v>0</v>
      </c>
      <c r="D8" s="88"/>
      <c r="E8" s="88"/>
      <c r="F8" s="88"/>
      <c r="G8" s="88"/>
      <c r="H8" s="168"/>
      <c r="J8" s="692"/>
      <c r="K8" s="694"/>
      <c r="L8" s="394"/>
      <c r="M8" s="54"/>
      <c r="N8" s="694"/>
      <c r="O8" s="8"/>
      <c r="P8" s="57"/>
      <c r="Q8" s="57"/>
      <c r="R8" s="167"/>
      <c r="T8" s="692" t="s">
        <v>62</v>
      </c>
      <c r="U8" s="54"/>
      <c r="V8" s="54"/>
      <c r="W8" s="54">
        <f t="shared" si="1"/>
        <v>0</v>
      </c>
      <c r="X8" s="53"/>
      <c r="Y8" s="53"/>
      <c r="Z8" s="57">
        <v>0.5</v>
      </c>
      <c r="AA8" s="57">
        <f t="shared" ref="AA8:AA12" si="2">+IF(W8&gt;0,ROUND(W8*Z8,3),0)</f>
        <v>0</v>
      </c>
      <c r="AB8" s="167" t="s">
        <v>936</v>
      </c>
      <c r="AD8" s="692" t="s">
        <v>13</v>
      </c>
      <c r="AE8" s="694">
        <v>7</v>
      </c>
      <c r="AF8" s="57">
        <v>4.9000000000000002E-2</v>
      </c>
      <c r="AG8" s="54"/>
      <c r="AH8" s="694" t="s">
        <v>18</v>
      </c>
      <c r="AI8" s="53"/>
      <c r="AJ8" s="57">
        <f>+IF(AND(AE8&gt;=1,AE8&lt;=6),ROUND(AG8*AI8,3),0)</f>
        <v>0</v>
      </c>
      <c r="AK8" s="57">
        <f>+IF(AE8=7,ROUND(AG8*AI8,3),0)</f>
        <v>0</v>
      </c>
      <c r="AL8" s="169" t="s">
        <v>65</v>
      </c>
      <c r="AN8" s="692" t="s">
        <v>61</v>
      </c>
      <c r="AO8" s="54"/>
      <c r="AP8" s="54"/>
      <c r="AQ8" s="54">
        <f t="shared" si="0"/>
        <v>0</v>
      </c>
      <c r="AR8" s="53"/>
      <c r="AS8" s="53"/>
      <c r="AT8" s="57">
        <v>0.21</v>
      </c>
      <c r="AU8" s="57">
        <f t="shared" ref="AU8:AU43" si="3">+IF(AQ8&gt;0,ROUND(AQ8*AT8,3),0)</f>
        <v>0</v>
      </c>
      <c r="AV8" s="169" t="s">
        <v>65</v>
      </c>
    </row>
    <row r="9" spans="1:48">
      <c r="B9" s="662"/>
      <c r="C9" s="87">
        <f>+AA48</f>
        <v>0</v>
      </c>
      <c r="D9" s="87"/>
      <c r="E9" s="87"/>
      <c r="F9" s="87"/>
      <c r="G9" s="87"/>
      <c r="H9" s="166"/>
      <c r="J9" s="693"/>
      <c r="K9" s="695"/>
      <c r="L9" s="58"/>
      <c r="M9" s="56"/>
      <c r="N9" s="695"/>
      <c r="O9" s="9"/>
      <c r="P9" s="59"/>
      <c r="Q9" s="59"/>
      <c r="R9" s="166"/>
      <c r="T9" s="693"/>
      <c r="U9" s="55"/>
      <c r="V9" s="55"/>
      <c r="W9" s="56">
        <f t="shared" si="1"/>
        <v>0</v>
      </c>
      <c r="X9" s="9"/>
      <c r="Y9" s="9"/>
      <c r="Z9" s="58"/>
      <c r="AA9" s="59">
        <f t="shared" si="2"/>
        <v>0</v>
      </c>
      <c r="AB9" s="166" t="s">
        <v>775</v>
      </c>
      <c r="AD9" s="693"/>
      <c r="AE9" s="695"/>
      <c r="AF9" s="58"/>
      <c r="AG9" s="56"/>
      <c r="AH9" s="695"/>
      <c r="AI9" s="9"/>
      <c r="AJ9" s="59">
        <f>+IF(AND(AE9&gt;=1,AE9&lt;=6),ROUND(AG9*AI9,3),0)</f>
        <v>0</v>
      </c>
      <c r="AK9" s="59">
        <f>+IF(AE9=7,ROUND(AG9*AI9,3),0)</f>
        <v>0</v>
      </c>
      <c r="AL9" s="166"/>
      <c r="AN9" s="693"/>
      <c r="AO9" s="55"/>
      <c r="AP9" s="55"/>
      <c r="AQ9" s="56">
        <f t="shared" si="0"/>
        <v>0</v>
      </c>
      <c r="AR9" s="9"/>
      <c r="AS9" s="9"/>
      <c r="AT9" s="58"/>
      <c r="AU9" s="59">
        <f t="shared" si="3"/>
        <v>0</v>
      </c>
      <c r="AV9" s="166"/>
    </row>
    <row r="10" spans="1:48">
      <c r="B10" s="661" t="s">
        <v>67</v>
      </c>
      <c r="C10" s="88"/>
      <c r="D10" s="88"/>
      <c r="E10" s="88">
        <f>+AK47</f>
        <v>0</v>
      </c>
      <c r="F10" s="88"/>
      <c r="G10" s="88"/>
      <c r="H10" s="168"/>
      <c r="J10" s="699"/>
      <c r="K10" s="694"/>
      <c r="L10" s="57"/>
      <c r="M10" s="54"/>
      <c r="N10" s="694"/>
      <c r="O10" s="8"/>
      <c r="P10" s="57"/>
      <c r="Q10" s="57"/>
      <c r="R10" s="167"/>
      <c r="T10" s="692" t="s">
        <v>63</v>
      </c>
      <c r="U10" s="54"/>
      <c r="V10" s="54"/>
      <c r="W10" s="54">
        <f t="shared" si="1"/>
        <v>0</v>
      </c>
      <c r="X10" s="53"/>
      <c r="Y10" s="53"/>
      <c r="Z10" s="57">
        <v>0.62</v>
      </c>
      <c r="AA10" s="57">
        <f t="shared" si="2"/>
        <v>0</v>
      </c>
      <c r="AB10" s="167" t="s">
        <v>936</v>
      </c>
      <c r="AD10" s="692" t="s">
        <v>15</v>
      </c>
      <c r="AE10" s="694">
        <v>7</v>
      </c>
      <c r="AF10" s="57">
        <v>8.0000000000000002E-3</v>
      </c>
      <c r="AG10" s="54"/>
      <c r="AH10" s="694" t="s">
        <v>18</v>
      </c>
      <c r="AI10" s="53">
        <v>1.6E-2</v>
      </c>
      <c r="AJ10" s="57">
        <f t="shared" ref="AJ10:AJ41" si="4">+IF(AND(AE10&gt;=1,AE10&lt;=6),ROUND(AG10*AI10,3),0)</f>
        <v>0</v>
      </c>
      <c r="AK10" s="57">
        <f t="shared" ref="AK10:AK41" si="5">+IF(AE10=7,ROUND(AG10*AI10,3),0)</f>
        <v>0</v>
      </c>
      <c r="AL10" s="169" t="s">
        <v>65</v>
      </c>
      <c r="AN10" s="692" t="s">
        <v>62</v>
      </c>
      <c r="AO10" s="54"/>
      <c r="AP10" s="54"/>
      <c r="AQ10" s="54">
        <f t="shared" si="0"/>
        <v>0</v>
      </c>
      <c r="AR10" s="53"/>
      <c r="AS10" s="53"/>
      <c r="AT10" s="57">
        <v>0.25</v>
      </c>
      <c r="AU10" s="57">
        <f t="shared" si="3"/>
        <v>0</v>
      </c>
      <c r="AV10" s="169" t="s">
        <v>65</v>
      </c>
    </row>
    <row r="11" spans="1:48">
      <c r="B11" s="662"/>
      <c r="C11" s="87"/>
      <c r="D11" s="87"/>
      <c r="E11" s="87">
        <f>+AK48</f>
        <v>0</v>
      </c>
      <c r="F11" s="87"/>
      <c r="G11" s="87"/>
      <c r="H11" s="166"/>
      <c r="J11" s="693"/>
      <c r="K11" s="695"/>
      <c r="L11" s="58"/>
      <c r="M11" s="56"/>
      <c r="N11" s="695"/>
      <c r="O11" s="9"/>
      <c r="P11" s="59"/>
      <c r="Q11" s="59"/>
      <c r="R11" s="166"/>
      <c r="T11" s="693"/>
      <c r="U11" s="55"/>
      <c r="V11" s="55"/>
      <c r="W11" s="56">
        <f t="shared" si="1"/>
        <v>0</v>
      </c>
      <c r="X11" s="9"/>
      <c r="Y11" s="9"/>
      <c r="Z11" s="58"/>
      <c r="AA11" s="59">
        <f t="shared" si="2"/>
        <v>0</v>
      </c>
      <c r="AB11" s="166" t="s">
        <v>776</v>
      </c>
      <c r="AD11" s="693"/>
      <c r="AE11" s="695"/>
      <c r="AF11" s="58"/>
      <c r="AG11" s="56"/>
      <c r="AH11" s="695"/>
      <c r="AI11" s="9"/>
      <c r="AJ11" s="59">
        <f t="shared" si="4"/>
        <v>0</v>
      </c>
      <c r="AK11" s="59">
        <f t="shared" si="5"/>
        <v>0</v>
      </c>
      <c r="AL11" s="166"/>
      <c r="AN11" s="693"/>
      <c r="AO11" s="55"/>
      <c r="AP11" s="55"/>
      <c r="AQ11" s="56">
        <f t="shared" si="0"/>
        <v>0</v>
      </c>
      <c r="AR11" s="9"/>
      <c r="AS11" s="9"/>
      <c r="AT11" s="58"/>
      <c r="AU11" s="59">
        <f t="shared" si="3"/>
        <v>0</v>
      </c>
      <c r="AV11" s="166"/>
    </row>
    <row r="12" spans="1:48">
      <c r="B12" s="661" t="s">
        <v>88</v>
      </c>
      <c r="C12" s="88">
        <f>+AU47</f>
        <v>0</v>
      </c>
      <c r="D12" s="88"/>
      <c r="E12" s="88"/>
      <c r="F12" s="88"/>
      <c r="G12" s="88"/>
      <c r="H12" s="168"/>
      <c r="J12" s="699"/>
      <c r="K12" s="694"/>
      <c r="L12" s="57"/>
      <c r="M12" s="54"/>
      <c r="N12" s="694"/>
      <c r="O12" s="8"/>
      <c r="P12" s="57"/>
      <c r="Q12" s="57"/>
      <c r="R12" s="167"/>
      <c r="T12" s="692" t="s">
        <v>64</v>
      </c>
      <c r="U12" s="54"/>
      <c r="V12" s="54"/>
      <c r="W12" s="54">
        <f>+IF(V12&gt;0,ROUND(U12*V12,2),U12)</f>
        <v>0</v>
      </c>
      <c r="X12" s="53"/>
      <c r="Y12" s="53"/>
      <c r="Z12" s="57">
        <v>0.91</v>
      </c>
      <c r="AA12" s="57">
        <f t="shared" si="2"/>
        <v>0</v>
      </c>
      <c r="AB12" s="167" t="s">
        <v>936</v>
      </c>
      <c r="AD12" s="692" t="s">
        <v>69</v>
      </c>
      <c r="AE12" s="694">
        <v>7</v>
      </c>
      <c r="AF12" s="57">
        <v>8.6999999999999994E-2</v>
      </c>
      <c r="AG12" s="54"/>
      <c r="AH12" s="694" t="s">
        <v>18</v>
      </c>
      <c r="AI12" s="53"/>
      <c r="AJ12" s="57">
        <f t="shared" si="4"/>
        <v>0</v>
      </c>
      <c r="AK12" s="57">
        <f t="shared" si="5"/>
        <v>0</v>
      </c>
      <c r="AL12" s="169" t="s">
        <v>65</v>
      </c>
      <c r="AN12" s="692" t="s">
        <v>63</v>
      </c>
      <c r="AO12" s="54"/>
      <c r="AP12" s="54"/>
      <c r="AQ12" s="54">
        <f>+IF(AP12&gt;0,ROUND(AO12*AP12,2),AO12)</f>
        <v>0</v>
      </c>
      <c r="AR12" s="53"/>
      <c r="AS12" s="53"/>
      <c r="AT12" s="57">
        <v>0.31</v>
      </c>
      <c r="AU12" s="57">
        <f t="shared" si="3"/>
        <v>0</v>
      </c>
      <c r="AV12" s="169" t="s">
        <v>65</v>
      </c>
    </row>
    <row r="13" spans="1:48">
      <c r="B13" s="662"/>
      <c r="C13" s="87">
        <f>+AU48</f>
        <v>0</v>
      </c>
      <c r="D13" s="87"/>
      <c r="E13" s="87"/>
      <c r="F13" s="87"/>
      <c r="G13" s="87"/>
      <c r="H13" s="166"/>
      <c r="J13" s="693"/>
      <c r="K13" s="695"/>
      <c r="L13" s="58"/>
      <c r="M13" s="56"/>
      <c r="N13" s="695"/>
      <c r="O13" s="9"/>
      <c r="P13" s="59"/>
      <c r="Q13" s="59"/>
      <c r="R13" s="166"/>
      <c r="T13" s="693"/>
      <c r="U13" s="55"/>
      <c r="V13" s="55"/>
      <c r="W13" s="56">
        <f>+IF(V13&gt;0,ROUND(U13*V13,2),U13)</f>
        <v>0</v>
      </c>
      <c r="X13" s="9"/>
      <c r="Y13" s="9"/>
      <c r="Z13" s="58"/>
      <c r="AA13" s="59">
        <f>+IF(W13&gt;0,ROUND(W13*Z13,3),0)</f>
        <v>0</v>
      </c>
      <c r="AB13" s="166" t="s">
        <v>777</v>
      </c>
      <c r="AD13" s="693"/>
      <c r="AE13" s="695"/>
      <c r="AF13" s="58"/>
      <c r="AG13" s="56"/>
      <c r="AH13" s="695"/>
      <c r="AI13" s="9"/>
      <c r="AJ13" s="59">
        <f t="shared" si="4"/>
        <v>0</v>
      </c>
      <c r="AK13" s="59">
        <f t="shared" si="5"/>
        <v>0</v>
      </c>
      <c r="AL13" s="166"/>
      <c r="AN13" s="693"/>
      <c r="AO13" s="55"/>
      <c r="AP13" s="55"/>
      <c r="AQ13" s="56">
        <f>+IF(AP13&gt;0,ROUND(AO13*AP13,2),AO13)</f>
        <v>0</v>
      </c>
      <c r="AR13" s="9"/>
      <c r="AS13" s="9"/>
      <c r="AT13" s="58"/>
      <c r="AU13" s="59">
        <f>+IF(AQ13&gt;0,ROUND(AQ13*AT13,3),0)</f>
        <v>0</v>
      </c>
      <c r="AV13" s="166"/>
    </row>
    <row r="14" spans="1:48">
      <c r="B14" s="661"/>
      <c r="C14" s="88"/>
      <c r="D14" s="88"/>
      <c r="E14" s="88"/>
      <c r="F14" s="88"/>
      <c r="G14" s="88"/>
      <c r="H14" s="168"/>
      <c r="J14" s="699"/>
      <c r="K14" s="694"/>
      <c r="L14" s="57"/>
      <c r="M14" s="54"/>
      <c r="N14" s="694"/>
      <c r="O14" s="8"/>
      <c r="P14" s="57"/>
      <c r="Q14" s="57"/>
      <c r="R14" s="167"/>
      <c r="T14" s="692"/>
      <c r="U14" s="54"/>
      <c r="V14" s="54"/>
      <c r="W14" s="54"/>
      <c r="X14" s="53"/>
      <c r="Y14" s="53"/>
      <c r="Z14" s="57"/>
      <c r="AA14" s="57"/>
      <c r="AB14" s="169"/>
      <c r="AD14" s="692"/>
      <c r="AE14" s="694"/>
      <c r="AF14" s="57"/>
      <c r="AG14" s="54"/>
      <c r="AH14" s="694"/>
      <c r="AI14" s="53"/>
      <c r="AJ14" s="57">
        <f t="shared" si="4"/>
        <v>0</v>
      </c>
      <c r="AK14" s="57">
        <f t="shared" si="5"/>
        <v>0</v>
      </c>
      <c r="AL14" s="169"/>
      <c r="AN14" s="692" t="s">
        <v>64</v>
      </c>
      <c r="AO14" s="54"/>
      <c r="AP14" s="54"/>
      <c r="AQ14" s="54">
        <f t="shared" ref="AQ14:AQ43" si="6">+IF(AP14&gt;0,ROUND(AO14*AP14,2),AO14)</f>
        <v>0</v>
      </c>
      <c r="AR14" s="53"/>
      <c r="AS14" s="53"/>
      <c r="AT14" s="57">
        <v>0.46</v>
      </c>
      <c r="AU14" s="57">
        <f t="shared" si="3"/>
        <v>0</v>
      </c>
      <c r="AV14" s="169" t="s">
        <v>65</v>
      </c>
    </row>
    <row r="15" spans="1:48">
      <c r="B15" s="662"/>
      <c r="C15" s="87"/>
      <c r="D15" s="87"/>
      <c r="E15" s="87"/>
      <c r="F15" s="87"/>
      <c r="G15" s="87"/>
      <c r="H15" s="166"/>
      <c r="J15" s="693"/>
      <c r="K15" s="695"/>
      <c r="L15" s="58"/>
      <c r="M15" s="56"/>
      <c r="N15" s="695"/>
      <c r="O15" s="9"/>
      <c r="P15" s="59"/>
      <c r="Q15" s="59"/>
      <c r="R15" s="166"/>
      <c r="T15" s="693"/>
      <c r="U15" s="55"/>
      <c r="V15" s="55"/>
      <c r="W15" s="56"/>
      <c r="X15" s="9"/>
      <c r="Y15" s="9"/>
      <c r="Z15" s="58"/>
      <c r="AA15" s="59"/>
      <c r="AB15" s="166"/>
      <c r="AD15" s="693"/>
      <c r="AE15" s="695"/>
      <c r="AF15" s="58"/>
      <c r="AG15" s="56"/>
      <c r="AH15" s="695"/>
      <c r="AI15" s="9"/>
      <c r="AJ15" s="59">
        <f t="shared" si="4"/>
        <v>0</v>
      </c>
      <c r="AK15" s="59">
        <f t="shared" si="5"/>
        <v>0</v>
      </c>
      <c r="AL15" s="166"/>
      <c r="AN15" s="693"/>
      <c r="AO15" s="55"/>
      <c r="AP15" s="55"/>
      <c r="AQ15" s="56">
        <f t="shared" si="6"/>
        <v>0</v>
      </c>
      <c r="AR15" s="9"/>
      <c r="AS15" s="9"/>
      <c r="AT15" s="58"/>
      <c r="AU15" s="59">
        <f t="shared" si="3"/>
        <v>0</v>
      </c>
      <c r="AV15" s="166"/>
    </row>
    <row r="16" spans="1:48">
      <c r="B16" s="661"/>
      <c r="C16" s="88"/>
      <c r="D16" s="88"/>
      <c r="E16" s="88"/>
      <c r="F16" s="88"/>
      <c r="G16" s="88"/>
      <c r="H16" s="168"/>
      <c r="J16" s="692"/>
      <c r="K16" s="694"/>
      <c r="L16" s="57"/>
      <c r="M16" s="54"/>
      <c r="N16" s="694"/>
      <c r="O16" s="8"/>
      <c r="P16" s="57"/>
      <c r="Q16" s="57"/>
      <c r="R16" s="167"/>
      <c r="T16" s="692"/>
      <c r="U16" s="54"/>
      <c r="V16" s="54"/>
      <c r="W16" s="54">
        <f t="shared" ref="W16:W43" si="7">+IF(V16&gt;0,ROUND(U16*V16,2),U16)</f>
        <v>0</v>
      </c>
      <c r="X16" s="53"/>
      <c r="Y16" s="53"/>
      <c r="Z16" s="57"/>
      <c r="AA16" s="57">
        <f t="shared" ref="AA16:AA43" si="8">+IF(W16&gt;0,ROUND(W16*Z16,3),0)</f>
        <v>0</v>
      </c>
      <c r="AB16" s="169"/>
      <c r="AD16" s="692"/>
      <c r="AE16" s="694"/>
      <c r="AF16" s="57"/>
      <c r="AG16" s="54"/>
      <c r="AH16" s="694"/>
      <c r="AI16" s="53"/>
      <c r="AJ16" s="57">
        <f t="shared" si="4"/>
        <v>0</v>
      </c>
      <c r="AK16" s="57">
        <f t="shared" si="5"/>
        <v>0</v>
      </c>
      <c r="AL16" s="169"/>
      <c r="AN16" s="692"/>
      <c r="AO16" s="54"/>
      <c r="AP16" s="54"/>
      <c r="AQ16" s="54">
        <f t="shared" si="6"/>
        <v>0</v>
      </c>
      <c r="AR16" s="53"/>
      <c r="AS16" s="53"/>
      <c r="AT16" s="57"/>
      <c r="AU16" s="57">
        <f t="shared" si="3"/>
        <v>0</v>
      </c>
      <c r="AV16" s="169"/>
    </row>
    <row r="17" spans="2:48">
      <c r="B17" s="662"/>
      <c r="C17" s="87"/>
      <c r="D17" s="87"/>
      <c r="E17" s="87"/>
      <c r="F17" s="87"/>
      <c r="G17" s="87"/>
      <c r="H17" s="166"/>
      <c r="J17" s="693"/>
      <c r="K17" s="695"/>
      <c r="L17" s="58"/>
      <c r="M17" s="56"/>
      <c r="N17" s="695"/>
      <c r="O17" s="9"/>
      <c r="P17" s="59"/>
      <c r="Q17" s="59"/>
      <c r="R17" s="166"/>
      <c r="T17" s="693"/>
      <c r="U17" s="55"/>
      <c r="V17" s="55"/>
      <c r="W17" s="56">
        <f t="shared" si="7"/>
        <v>0</v>
      </c>
      <c r="X17" s="9"/>
      <c r="Y17" s="9"/>
      <c r="Z17" s="58"/>
      <c r="AA17" s="59">
        <f t="shared" si="8"/>
        <v>0</v>
      </c>
      <c r="AB17" s="166"/>
      <c r="AD17" s="693"/>
      <c r="AE17" s="695"/>
      <c r="AF17" s="58"/>
      <c r="AG17" s="56"/>
      <c r="AH17" s="695"/>
      <c r="AI17" s="9"/>
      <c r="AJ17" s="59">
        <f t="shared" si="4"/>
        <v>0</v>
      </c>
      <c r="AK17" s="59">
        <f t="shared" si="5"/>
        <v>0</v>
      </c>
      <c r="AL17" s="166"/>
      <c r="AN17" s="693"/>
      <c r="AO17" s="55"/>
      <c r="AP17" s="55"/>
      <c r="AQ17" s="56">
        <f t="shared" si="6"/>
        <v>0</v>
      </c>
      <c r="AR17" s="9"/>
      <c r="AS17" s="9"/>
      <c r="AT17" s="58"/>
      <c r="AU17" s="59">
        <f t="shared" si="3"/>
        <v>0</v>
      </c>
      <c r="AV17" s="166"/>
    </row>
    <row r="18" spans="2:48">
      <c r="B18" s="661"/>
      <c r="C18" s="88"/>
      <c r="D18" s="88"/>
      <c r="E18" s="88"/>
      <c r="F18" s="88"/>
      <c r="G18" s="88"/>
      <c r="H18" s="168"/>
      <c r="J18" s="692"/>
      <c r="K18" s="694"/>
      <c r="L18" s="57"/>
      <c r="M18" s="54"/>
      <c r="N18" s="694"/>
      <c r="O18" s="8">
        <f t="shared" ref="O18" si="9">+IF(K18=1,ROUND(12.2*L18^0.711,3),IF(K18=2,ROUND(4.8*L18^0.776,3),IF(K18=3,ROUND(14.2*L18^0.676,3),IF(K18=4,ROUND(4.8*L18,3),IF(K18=6,ROUND(7.5*L18,3),IF(K18=7,ROUND(4.9*L18,3),0))))))</f>
        <v>0</v>
      </c>
      <c r="P18" s="57">
        <f t="shared" ref="P18:P41" si="10">+IF(AND(K18&gt;=1,K18&lt;=6),ROUND(M18*O18,3),0)</f>
        <v>0</v>
      </c>
      <c r="Q18" s="57">
        <f t="shared" ref="Q18:Q41" si="11">+IF(K18=7,ROUND(M18*O18,3),0)</f>
        <v>0</v>
      </c>
      <c r="R18" s="165"/>
      <c r="T18" s="692"/>
      <c r="U18" s="54"/>
      <c r="V18" s="54"/>
      <c r="W18" s="54">
        <f t="shared" si="7"/>
        <v>0</v>
      </c>
      <c r="X18" s="53"/>
      <c r="Y18" s="53"/>
      <c r="Z18" s="57"/>
      <c r="AA18" s="57">
        <f t="shared" si="8"/>
        <v>0</v>
      </c>
      <c r="AB18" s="169"/>
      <c r="AD18" s="692"/>
      <c r="AE18" s="694"/>
      <c r="AF18" s="57"/>
      <c r="AG18" s="54"/>
      <c r="AH18" s="694"/>
      <c r="AI18" s="53"/>
      <c r="AJ18" s="57">
        <f t="shared" si="4"/>
        <v>0</v>
      </c>
      <c r="AK18" s="57">
        <f t="shared" si="5"/>
        <v>0</v>
      </c>
      <c r="AL18" s="169"/>
      <c r="AN18" s="692"/>
      <c r="AO18" s="54"/>
      <c r="AP18" s="54"/>
      <c r="AQ18" s="54">
        <f t="shared" si="6"/>
        <v>0</v>
      </c>
      <c r="AR18" s="53"/>
      <c r="AS18" s="53"/>
      <c r="AT18" s="57"/>
      <c r="AU18" s="57">
        <f t="shared" si="3"/>
        <v>0</v>
      </c>
      <c r="AV18" s="169"/>
    </row>
    <row r="19" spans="2:48">
      <c r="B19" s="662"/>
      <c r="C19" s="87"/>
      <c r="D19" s="87"/>
      <c r="E19" s="87"/>
      <c r="F19" s="87"/>
      <c r="G19" s="87"/>
      <c r="H19" s="166"/>
      <c r="J19" s="693"/>
      <c r="K19" s="695"/>
      <c r="L19" s="58"/>
      <c r="M19" s="56"/>
      <c r="N19" s="695"/>
      <c r="O19" s="9">
        <f t="shared" ref="O19" si="12">+IF(K18=1,ROUND(12.2*L19^0.711,3),IF(K18=2,ROUND(4.8*L19^0.776,3),IF(K18=3,ROUND(14.2*L19^0.676,3),IF(K18=4,ROUND(4.8*L19,3),IF(K18=6,ROUND(7.5*L19,3),IF(K18=7,ROUND(4.9*L19,3),0))))))</f>
        <v>0</v>
      </c>
      <c r="P19" s="59">
        <f t="shared" si="10"/>
        <v>0</v>
      </c>
      <c r="Q19" s="59">
        <f t="shared" si="11"/>
        <v>0</v>
      </c>
      <c r="R19" s="166"/>
      <c r="T19" s="693"/>
      <c r="U19" s="55"/>
      <c r="V19" s="55"/>
      <c r="W19" s="56">
        <f t="shared" si="7"/>
        <v>0</v>
      </c>
      <c r="X19" s="9"/>
      <c r="Y19" s="9"/>
      <c r="Z19" s="58"/>
      <c r="AA19" s="59">
        <f t="shared" si="8"/>
        <v>0</v>
      </c>
      <c r="AB19" s="166"/>
      <c r="AD19" s="693"/>
      <c r="AE19" s="695"/>
      <c r="AF19" s="58"/>
      <c r="AG19" s="56"/>
      <c r="AH19" s="695"/>
      <c r="AI19" s="9"/>
      <c r="AJ19" s="59">
        <f t="shared" si="4"/>
        <v>0</v>
      </c>
      <c r="AK19" s="59">
        <f t="shared" si="5"/>
        <v>0</v>
      </c>
      <c r="AL19" s="166"/>
      <c r="AN19" s="693"/>
      <c r="AO19" s="55"/>
      <c r="AP19" s="55"/>
      <c r="AQ19" s="56">
        <f t="shared" si="6"/>
        <v>0</v>
      </c>
      <c r="AR19" s="9"/>
      <c r="AS19" s="9"/>
      <c r="AT19" s="58"/>
      <c r="AU19" s="59">
        <f t="shared" si="3"/>
        <v>0</v>
      </c>
      <c r="AV19" s="166"/>
    </row>
    <row r="20" spans="2:48">
      <c r="B20" s="661"/>
      <c r="C20" s="88"/>
      <c r="D20" s="88"/>
      <c r="E20" s="88"/>
      <c r="F20" s="88"/>
      <c r="G20" s="88"/>
      <c r="H20" s="168"/>
      <c r="J20" s="692"/>
      <c r="K20" s="694"/>
      <c r="L20" s="57"/>
      <c r="M20" s="54"/>
      <c r="N20" s="694"/>
      <c r="O20" s="8">
        <f t="shared" ref="O20" si="13">+IF(K20=1,ROUND(12.2*L20^0.711,3),IF(K20=2,ROUND(4.8*L20^0.776,3),IF(K20=3,ROUND(14.2*L20^0.676,3),IF(K20=4,ROUND(4.8*L20,3),IF(K20=6,ROUND(7.5*L20,3),IF(K20=7,ROUND(4.9*L20,3),0))))))</f>
        <v>0</v>
      </c>
      <c r="P20" s="57">
        <f t="shared" si="10"/>
        <v>0</v>
      </c>
      <c r="Q20" s="57">
        <f t="shared" si="11"/>
        <v>0</v>
      </c>
      <c r="R20" s="165"/>
      <c r="T20" s="692"/>
      <c r="U20" s="54"/>
      <c r="V20" s="54"/>
      <c r="W20" s="54">
        <f t="shared" si="7"/>
        <v>0</v>
      </c>
      <c r="X20" s="53"/>
      <c r="Y20" s="53"/>
      <c r="Z20" s="57"/>
      <c r="AA20" s="57">
        <f t="shared" si="8"/>
        <v>0</v>
      </c>
      <c r="AB20" s="169"/>
      <c r="AD20" s="692"/>
      <c r="AE20" s="694"/>
      <c r="AF20" s="57"/>
      <c r="AG20" s="54"/>
      <c r="AH20" s="694"/>
      <c r="AI20" s="53"/>
      <c r="AJ20" s="57">
        <f t="shared" si="4"/>
        <v>0</v>
      </c>
      <c r="AK20" s="57">
        <f t="shared" si="5"/>
        <v>0</v>
      </c>
      <c r="AL20" s="169"/>
      <c r="AN20" s="692"/>
      <c r="AO20" s="54"/>
      <c r="AP20" s="54"/>
      <c r="AQ20" s="54">
        <f t="shared" si="6"/>
        <v>0</v>
      </c>
      <c r="AR20" s="53"/>
      <c r="AS20" s="53"/>
      <c r="AT20" s="57"/>
      <c r="AU20" s="57">
        <f t="shared" si="3"/>
        <v>0</v>
      </c>
      <c r="AV20" s="169"/>
    </row>
    <row r="21" spans="2:48">
      <c r="B21" s="662"/>
      <c r="C21" s="87"/>
      <c r="D21" s="87"/>
      <c r="E21" s="87"/>
      <c r="F21" s="87"/>
      <c r="G21" s="87"/>
      <c r="H21" s="166"/>
      <c r="J21" s="693"/>
      <c r="K21" s="695"/>
      <c r="L21" s="58"/>
      <c r="M21" s="56"/>
      <c r="N21" s="695"/>
      <c r="O21" s="9">
        <f t="shared" ref="O21" si="14">+IF(K20=1,ROUND(12.2*L21^0.711,3),IF(K20=2,ROUND(4.8*L21^0.776,3),IF(K20=3,ROUND(14.2*L21^0.676,3),IF(K20=4,ROUND(4.8*L21,3),IF(K20=6,ROUND(7.5*L21,3),IF(K20=7,ROUND(4.9*L21,3),0))))))</f>
        <v>0</v>
      </c>
      <c r="P21" s="59">
        <f t="shared" si="10"/>
        <v>0</v>
      </c>
      <c r="Q21" s="59">
        <f t="shared" si="11"/>
        <v>0</v>
      </c>
      <c r="R21" s="166"/>
      <c r="T21" s="693"/>
      <c r="U21" s="55"/>
      <c r="V21" s="55"/>
      <c r="W21" s="56">
        <f t="shared" si="7"/>
        <v>0</v>
      </c>
      <c r="X21" s="9"/>
      <c r="Y21" s="9"/>
      <c r="Z21" s="58"/>
      <c r="AA21" s="59">
        <f t="shared" si="8"/>
        <v>0</v>
      </c>
      <c r="AB21" s="166"/>
      <c r="AD21" s="693"/>
      <c r="AE21" s="695"/>
      <c r="AF21" s="58"/>
      <c r="AG21" s="56"/>
      <c r="AH21" s="695"/>
      <c r="AI21" s="9"/>
      <c r="AJ21" s="59">
        <f t="shared" si="4"/>
        <v>0</v>
      </c>
      <c r="AK21" s="59">
        <f t="shared" si="5"/>
        <v>0</v>
      </c>
      <c r="AL21" s="166"/>
      <c r="AN21" s="693"/>
      <c r="AO21" s="55"/>
      <c r="AP21" s="55"/>
      <c r="AQ21" s="56">
        <f t="shared" si="6"/>
        <v>0</v>
      </c>
      <c r="AR21" s="9"/>
      <c r="AS21" s="9"/>
      <c r="AT21" s="58"/>
      <c r="AU21" s="59">
        <f t="shared" si="3"/>
        <v>0</v>
      </c>
      <c r="AV21" s="166"/>
    </row>
    <row r="22" spans="2:48">
      <c r="B22" s="661"/>
      <c r="C22" s="88"/>
      <c r="D22" s="88"/>
      <c r="E22" s="88"/>
      <c r="F22" s="88"/>
      <c r="G22" s="88"/>
      <c r="H22" s="168"/>
      <c r="J22" s="692"/>
      <c r="K22" s="694"/>
      <c r="L22" s="57"/>
      <c r="M22" s="54"/>
      <c r="N22" s="694"/>
      <c r="O22" s="8">
        <f t="shared" ref="O22" si="15">+IF(K22=1,ROUND(12.2*L22^0.711,3),IF(K22=2,ROUND(4.8*L22^0.776,3),IF(K22=3,ROUND(14.2*L22^0.676,3),IF(K22=4,ROUND(4.8*L22,3),IF(K22=6,ROUND(7.5*L22,3),IF(K22=7,ROUND(4.9*L22,3),0))))))</f>
        <v>0</v>
      </c>
      <c r="P22" s="57">
        <f t="shared" si="10"/>
        <v>0</v>
      </c>
      <c r="Q22" s="57">
        <f t="shared" si="11"/>
        <v>0</v>
      </c>
      <c r="R22" s="165"/>
      <c r="T22" s="692"/>
      <c r="U22" s="54"/>
      <c r="V22" s="54"/>
      <c r="W22" s="54">
        <f t="shared" si="7"/>
        <v>0</v>
      </c>
      <c r="X22" s="53"/>
      <c r="Y22" s="53"/>
      <c r="Z22" s="57"/>
      <c r="AA22" s="57">
        <f t="shared" si="8"/>
        <v>0</v>
      </c>
      <c r="AB22" s="169"/>
      <c r="AD22" s="692"/>
      <c r="AE22" s="694"/>
      <c r="AF22" s="57"/>
      <c r="AG22" s="54"/>
      <c r="AH22" s="694"/>
      <c r="AI22" s="53"/>
      <c r="AJ22" s="57">
        <f t="shared" si="4"/>
        <v>0</v>
      </c>
      <c r="AK22" s="57">
        <f t="shared" si="5"/>
        <v>0</v>
      </c>
      <c r="AL22" s="169"/>
      <c r="AN22" s="692"/>
      <c r="AO22" s="54"/>
      <c r="AP22" s="54"/>
      <c r="AQ22" s="54">
        <f t="shared" si="6"/>
        <v>0</v>
      </c>
      <c r="AR22" s="53"/>
      <c r="AS22" s="53"/>
      <c r="AT22" s="57"/>
      <c r="AU22" s="57">
        <f t="shared" si="3"/>
        <v>0</v>
      </c>
      <c r="AV22" s="169"/>
    </row>
    <row r="23" spans="2:48">
      <c r="B23" s="662"/>
      <c r="C23" s="87"/>
      <c r="D23" s="87"/>
      <c r="E23" s="87"/>
      <c r="F23" s="87"/>
      <c r="G23" s="87"/>
      <c r="H23" s="166"/>
      <c r="J23" s="693"/>
      <c r="K23" s="695"/>
      <c r="L23" s="58"/>
      <c r="M23" s="56"/>
      <c r="N23" s="695"/>
      <c r="O23" s="9">
        <f t="shared" ref="O23" si="16">+IF(K22=1,ROUND(12.2*L23^0.711,3),IF(K22=2,ROUND(4.8*L23^0.776,3),IF(K22=3,ROUND(14.2*L23^0.676,3),IF(K22=4,ROUND(4.8*L23,3),IF(K22=6,ROUND(7.5*L23,3),IF(K22=7,ROUND(4.9*L23,3),0))))))</f>
        <v>0</v>
      </c>
      <c r="P23" s="59">
        <f t="shared" si="10"/>
        <v>0</v>
      </c>
      <c r="Q23" s="59">
        <f t="shared" si="11"/>
        <v>0</v>
      </c>
      <c r="R23" s="166"/>
      <c r="T23" s="693"/>
      <c r="U23" s="55"/>
      <c r="V23" s="55"/>
      <c r="W23" s="56">
        <f t="shared" si="7"/>
        <v>0</v>
      </c>
      <c r="X23" s="9"/>
      <c r="Y23" s="9"/>
      <c r="Z23" s="58"/>
      <c r="AA23" s="59">
        <f t="shared" si="8"/>
        <v>0</v>
      </c>
      <c r="AB23" s="166"/>
      <c r="AD23" s="693"/>
      <c r="AE23" s="695"/>
      <c r="AF23" s="58"/>
      <c r="AG23" s="56"/>
      <c r="AH23" s="695"/>
      <c r="AI23" s="9"/>
      <c r="AJ23" s="59">
        <f t="shared" si="4"/>
        <v>0</v>
      </c>
      <c r="AK23" s="59">
        <f t="shared" si="5"/>
        <v>0</v>
      </c>
      <c r="AL23" s="166"/>
      <c r="AN23" s="693"/>
      <c r="AO23" s="55"/>
      <c r="AP23" s="55"/>
      <c r="AQ23" s="56">
        <f t="shared" si="6"/>
        <v>0</v>
      </c>
      <c r="AR23" s="9"/>
      <c r="AS23" s="9"/>
      <c r="AT23" s="58"/>
      <c r="AU23" s="59">
        <f t="shared" si="3"/>
        <v>0</v>
      </c>
      <c r="AV23" s="166"/>
    </row>
    <row r="24" spans="2:48">
      <c r="B24" s="661"/>
      <c r="C24" s="88"/>
      <c r="D24" s="88"/>
      <c r="E24" s="88"/>
      <c r="F24" s="88"/>
      <c r="G24" s="88"/>
      <c r="H24" s="168"/>
      <c r="J24" s="692"/>
      <c r="K24" s="694"/>
      <c r="L24" s="57"/>
      <c r="M24" s="54"/>
      <c r="N24" s="694"/>
      <c r="O24" s="8">
        <f t="shared" ref="O24" si="17">+IF(K24=1,ROUND(12.2*L24^0.711,3),IF(K24=2,ROUND(4.8*L24^0.776,3),IF(K24=3,ROUND(14.2*L24^0.676,3),IF(K24=4,ROUND(4.8*L24,3),IF(K24=6,ROUND(7.5*L24,3),IF(K24=7,ROUND(4.9*L24,3),0))))))</f>
        <v>0</v>
      </c>
      <c r="P24" s="57">
        <f t="shared" si="10"/>
        <v>0</v>
      </c>
      <c r="Q24" s="57">
        <f t="shared" si="11"/>
        <v>0</v>
      </c>
      <c r="R24" s="165"/>
      <c r="T24" s="692"/>
      <c r="U24" s="54"/>
      <c r="V24" s="54"/>
      <c r="W24" s="54">
        <f t="shared" si="7"/>
        <v>0</v>
      </c>
      <c r="X24" s="53"/>
      <c r="Y24" s="53"/>
      <c r="Z24" s="57"/>
      <c r="AA24" s="57">
        <f t="shared" si="8"/>
        <v>0</v>
      </c>
      <c r="AB24" s="169"/>
      <c r="AD24" s="692"/>
      <c r="AE24" s="694"/>
      <c r="AF24" s="57"/>
      <c r="AG24" s="54"/>
      <c r="AH24" s="694"/>
      <c r="AI24" s="53"/>
      <c r="AJ24" s="57">
        <f t="shared" si="4"/>
        <v>0</v>
      </c>
      <c r="AK24" s="57">
        <f t="shared" si="5"/>
        <v>0</v>
      </c>
      <c r="AL24" s="169"/>
      <c r="AN24" s="692"/>
      <c r="AO24" s="54"/>
      <c r="AP24" s="54"/>
      <c r="AQ24" s="54">
        <f t="shared" si="6"/>
        <v>0</v>
      </c>
      <c r="AR24" s="53"/>
      <c r="AS24" s="53"/>
      <c r="AT24" s="57"/>
      <c r="AU24" s="57">
        <f t="shared" si="3"/>
        <v>0</v>
      </c>
      <c r="AV24" s="169"/>
    </row>
    <row r="25" spans="2:48">
      <c r="B25" s="662"/>
      <c r="C25" s="87"/>
      <c r="D25" s="87"/>
      <c r="E25" s="87"/>
      <c r="F25" s="87"/>
      <c r="G25" s="87"/>
      <c r="H25" s="166"/>
      <c r="J25" s="693"/>
      <c r="K25" s="695"/>
      <c r="L25" s="58"/>
      <c r="M25" s="56"/>
      <c r="N25" s="695"/>
      <c r="O25" s="9">
        <f t="shared" ref="O25" si="18">+IF(K24=1,ROUND(12.2*L25^0.711,3),IF(K24=2,ROUND(4.8*L25^0.776,3),IF(K24=3,ROUND(14.2*L25^0.676,3),IF(K24=4,ROUND(4.8*L25,3),IF(K24=6,ROUND(7.5*L25,3),IF(K24=7,ROUND(4.9*L25,3),0))))))</f>
        <v>0</v>
      </c>
      <c r="P25" s="59">
        <f t="shared" si="10"/>
        <v>0</v>
      </c>
      <c r="Q25" s="59">
        <f t="shared" si="11"/>
        <v>0</v>
      </c>
      <c r="R25" s="166"/>
      <c r="T25" s="693"/>
      <c r="U25" s="55"/>
      <c r="V25" s="55"/>
      <c r="W25" s="56">
        <f t="shared" si="7"/>
        <v>0</v>
      </c>
      <c r="X25" s="9"/>
      <c r="Y25" s="9"/>
      <c r="Z25" s="58"/>
      <c r="AA25" s="59">
        <f t="shared" si="8"/>
        <v>0</v>
      </c>
      <c r="AB25" s="166"/>
      <c r="AD25" s="693"/>
      <c r="AE25" s="695"/>
      <c r="AF25" s="58"/>
      <c r="AG25" s="56"/>
      <c r="AH25" s="695"/>
      <c r="AI25" s="9"/>
      <c r="AJ25" s="59">
        <f t="shared" si="4"/>
        <v>0</v>
      </c>
      <c r="AK25" s="59">
        <f t="shared" si="5"/>
        <v>0</v>
      </c>
      <c r="AL25" s="166"/>
      <c r="AN25" s="693"/>
      <c r="AO25" s="55"/>
      <c r="AP25" s="55"/>
      <c r="AQ25" s="56">
        <f t="shared" si="6"/>
        <v>0</v>
      </c>
      <c r="AR25" s="9"/>
      <c r="AS25" s="9"/>
      <c r="AT25" s="58"/>
      <c r="AU25" s="59">
        <f t="shared" si="3"/>
        <v>0</v>
      </c>
      <c r="AV25" s="166"/>
    </row>
    <row r="26" spans="2:48">
      <c r="B26" s="661"/>
      <c r="C26" s="88"/>
      <c r="D26" s="88"/>
      <c r="E26" s="88"/>
      <c r="F26" s="88"/>
      <c r="G26" s="88"/>
      <c r="H26" s="168"/>
      <c r="J26" s="692"/>
      <c r="K26" s="694"/>
      <c r="L26" s="57"/>
      <c r="M26" s="54"/>
      <c r="N26" s="694"/>
      <c r="O26" s="8">
        <f t="shared" ref="O26" si="19">+IF(K26=1,ROUND(12.2*L26^0.711,3),IF(K26=2,ROUND(4.8*L26^0.776,3),IF(K26=3,ROUND(14.2*L26^0.676,3),IF(K26=4,ROUND(4.8*L26,3),IF(K26=6,ROUND(7.5*L26,3),IF(K26=7,ROUND(4.9*L26,3),0))))))</f>
        <v>0</v>
      </c>
      <c r="P26" s="57">
        <f t="shared" si="10"/>
        <v>0</v>
      </c>
      <c r="Q26" s="57">
        <f t="shared" si="11"/>
        <v>0</v>
      </c>
      <c r="R26" s="165"/>
      <c r="T26" s="692"/>
      <c r="U26" s="54"/>
      <c r="V26" s="54"/>
      <c r="W26" s="54">
        <f t="shared" si="7"/>
        <v>0</v>
      </c>
      <c r="X26" s="53"/>
      <c r="Y26" s="53"/>
      <c r="Z26" s="57"/>
      <c r="AA26" s="57">
        <f t="shared" si="8"/>
        <v>0</v>
      </c>
      <c r="AB26" s="169"/>
      <c r="AD26" s="692"/>
      <c r="AE26" s="694"/>
      <c r="AF26" s="57"/>
      <c r="AG26" s="54"/>
      <c r="AH26" s="694"/>
      <c r="AI26" s="53"/>
      <c r="AJ26" s="57">
        <f t="shared" si="4"/>
        <v>0</v>
      </c>
      <c r="AK26" s="57">
        <f t="shared" si="5"/>
        <v>0</v>
      </c>
      <c r="AL26" s="169"/>
      <c r="AN26" s="692"/>
      <c r="AO26" s="54"/>
      <c r="AP26" s="54"/>
      <c r="AQ26" s="54">
        <f t="shared" si="6"/>
        <v>0</v>
      </c>
      <c r="AR26" s="53"/>
      <c r="AS26" s="53"/>
      <c r="AT26" s="57"/>
      <c r="AU26" s="57">
        <f t="shared" si="3"/>
        <v>0</v>
      </c>
      <c r="AV26" s="169"/>
    </row>
    <row r="27" spans="2:48">
      <c r="B27" s="662"/>
      <c r="C27" s="87"/>
      <c r="D27" s="87"/>
      <c r="E27" s="87"/>
      <c r="F27" s="87"/>
      <c r="G27" s="87"/>
      <c r="H27" s="166"/>
      <c r="J27" s="693"/>
      <c r="K27" s="695"/>
      <c r="L27" s="58"/>
      <c r="M27" s="56"/>
      <c r="N27" s="695"/>
      <c r="O27" s="9">
        <f t="shared" ref="O27" si="20">+IF(K26=1,ROUND(12.2*L27^0.711,3),IF(K26=2,ROUND(4.8*L27^0.776,3),IF(K26=3,ROUND(14.2*L27^0.676,3),IF(K26=4,ROUND(4.8*L27,3),IF(K26=6,ROUND(7.5*L27,3),IF(K26=7,ROUND(4.9*L27,3),0))))))</f>
        <v>0</v>
      </c>
      <c r="P27" s="59">
        <f t="shared" si="10"/>
        <v>0</v>
      </c>
      <c r="Q27" s="59">
        <f t="shared" si="11"/>
        <v>0</v>
      </c>
      <c r="R27" s="166"/>
      <c r="T27" s="693"/>
      <c r="U27" s="55"/>
      <c r="V27" s="55"/>
      <c r="W27" s="56">
        <f t="shared" si="7"/>
        <v>0</v>
      </c>
      <c r="X27" s="9"/>
      <c r="Y27" s="9"/>
      <c r="Z27" s="58"/>
      <c r="AA27" s="59">
        <f t="shared" si="8"/>
        <v>0</v>
      </c>
      <c r="AB27" s="166"/>
      <c r="AD27" s="693"/>
      <c r="AE27" s="695"/>
      <c r="AF27" s="58"/>
      <c r="AG27" s="56"/>
      <c r="AH27" s="695"/>
      <c r="AI27" s="9"/>
      <c r="AJ27" s="59">
        <f t="shared" si="4"/>
        <v>0</v>
      </c>
      <c r="AK27" s="59">
        <f t="shared" si="5"/>
        <v>0</v>
      </c>
      <c r="AL27" s="166"/>
      <c r="AN27" s="693"/>
      <c r="AO27" s="55"/>
      <c r="AP27" s="55"/>
      <c r="AQ27" s="56">
        <f t="shared" si="6"/>
        <v>0</v>
      </c>
      <c r="AR27" s="9"/>
      <c r="AS27" s="9"/>
      <c r="AT27" s="58"/>
      <c r="AU27" s="59">
        <f t="shared" si="3"/>
        <v>0</v>
      </c>
      <c r="AV27" s="166"/>
    </row>
    <row r="28" spans="2:48">
      <c r="B28" s="661"/>
      <c r="C28" s="88"/>
      <c r="D28" s="88"/>
      <c r="E28" s="88"/>
      <c r="F28" s="88"/>
      <c r="G28" s="88"/>
      <c r="H28" s="168"/>
      <c r="J28" s="692"/>
      <c r="K28" s="694"/>
      <c r="L28" s="57"/>
      <c r="M28" s="54"/>
      <c r="N28" s="694"/>
      <c r="O28" s="8">
        <f t="shared" ref="O28" si="21">+IF(K28=1,ROUND(12.2*L28^0.711,3),IF(K28=2,ROUND(4.8*L28^0.776,3),IF(K28=3,ROUND(14.2*L28^0.676,3),IF(K28=4,ROUND(4.8*L28,3),IF(K28=6,ROUND(7.5*L28,3),IF(K28=7,ROUND(4.9*L28,3),0))))))</f>
        <v>0</v>
      </c>
      <c r="P28" s="57">
        <f t="shared" si="10"/>
        <v>0</v>
      </c>
      <c r="Q28" s="57">
        <f t="shared" si="11"/>
        <v>0</v>
      </c>
      <c r="R28" s="165"/>
      <c r="T28" s="692"/>
      <c r="U28" s="54"/>
      <c r="V28" s="54"/>
      <c r="W28" s="54">
        <f t="shared" si="7"/>
        <v>0</v>
      </c>
      <c r="X28" s="53"/>
      <c r="Y28" s="53"/>
      <c r="Z28" s="57"/>
      <c r="AA28" s="57">
        <f t="shared" si="8"/>
        <v>0</v>
      </c>
      <c r="AB28" s="169"/>
      <c r="AD28" s="692"/>
      <c r="AE28" s="694"/>
      <c r="AF28" s="57"/>
      <c r="AG28" s="54"/>
      <c r="AH28" s="694"/>
      <c r="AI28" s="53"/>
      <c r="AJ28" s="57">
        <f t="shared" si="4"/>
        <v>0</v>
      </c>
      <c r="AK28" s="57">
        <f t="shared" si="5"/>
        <v>0</v>
      </c>
      <c r="AL28" s="169"/>
      <c r="AN28" s="692"/>
      <c r="AO28" s="54"/>
      <c r="AP28" s="54"/>
      <c r="AQ28" s="54">
        <f t="shared" si="6"/>
        <v>0</v>
      </c>
      <c r="AR28" s="53"/>
      <c r="AS28" s="53"/>
      <c r="AT28" s="57"/>
      <c r="AU28" s="57">
        <f t="shared" si="3"/>
        <v>0</v>
      </c>
      <c r="AV28" s="169"/>
    </row>
    <row r="29" spans="2:48">
      <c r="B29" s="662"/>
      <c r="C29" s="87"/>
      <c r="D29" s="87"/>
      <c r="E29" s="87"/>
      <c r="F29" s="87"/>
      <c r="G29" s="87"/>
      <c r="H29" s="166"/>
      <c r="J29" s="693"/>
      <c r="K29" s="695"/>
      <c r="L29" s="58"/>
      <c r="M29" s="56"/>
      <c r="N29" s="695"/>
      <c r="O29" s="9">
        <f t="shared" ref="O29" si="22">+IF(K28=1,ROUND(12.2*L29^0.711,3),IF(K28=2,ROUND(4.8*L29^0.776,3),IF(K28=3,ROUND(14.2*L29^0.676,3),IF(K28=4,ROUND(4.8*L29,3),IF(K28=6,ROUND(7.5*L29,3),IF(K28=7,ROUND(4.9*L29,3),0))))))</f>
        <v>0</v>
      </c>
      <c r="P29" s="59">
        <f t="shared" si="10"/>
        <v>0</v>
      </c>
      <c r="Q29" s="59">
        <f t="shared" si="11"/>
        <v>0</v>
      </c>
      <c r="R29" s="166"/>
      <c r="T29" s="693"/>
      <c r="U29" s="55"/>
      <c r="V29" s="55"/>
      <c r="W29" s="56">
        <f t="shared" si="7"/>
        <v>0</v>
      </c>
      <c r="X29" s="9"/>
      <c r="Y29" s="9"/>
      <c r="Z29" s="58"/>
      <c r="AA29" s="59">
        <f t="shared" si="8"/>
        <v>0</v>
      </c>
      <c r="AB29" s="166"/>
      <c r="AD29" s="693"/>
      <c r="AE29" s="695"/>
      <c r="AF29" s="58"/>
      <c r="AG29" s="56"/>
      <c r="AH29" s="695"/>
      <c r="AI29" s="9"/>
      <c r="AJ29" s="59">
        <f t="shared" si="4"/>
        <v>0</v>
      </c>
      <c r="AK29" s="59">
        <f t="shared" si="5"/>
        <v>0</v>
      </c>
      <c r="AL29" s="166"/>
      <c r="AN29" s="693"/>
      <c r="AO29" s="55"/>
      <c r="AP29" s="55"/>
      <c r="AQ29" s="56">
        <f t="shared" si="6"/>
        <v>0</v>
      </c>
      <c r="AR29" s="9"/>
      <c r="AS29" s="9"/>
      <c r="AT29" s="58"/>
      <c r="AU29" s="59">
        <f t="shared" si="3"/>
        <v>0</v>
      </c>
      <c r="AV29" s="166"/>
    </row>
    <row r="30" spans="2:48">
      <c r="B30" s="661"/>
      <c r="C30" s="88"/>
      <c r="D30" s="88"/>
      <c r="E30" s="88"/>
      <c r="F30" s="88"/>
      <c r="G30" s="88"/>
      <c r="H30" s="168"/>
      <c r="J30" s="692"/>
      <c r="K30" s="694"/>
      <c r="L30" s="57"/>
      <c r="M30" s="54"/>
      <c r="N30" s="694"/>
      <c r="O30" s="8">
        <f t="shared" ref="O30" si="23">+IF(K30=1,ROUND(12.2*L30^0.711,3),IF(K30=2,ROUND(4.8*L30^0.776,3),IF(K30=3,ROUND(14.2*L30^0.676,3),IF(K30=4,ROUND(4.8*L30,3),IF(K30=6,ROUND(7.5*L30,3),IF(K30=7,ROUND(4.9*L30,3),0))))))</f>
        <v>0</v>
      </c>
      <c r="P30" s="57">
        <f t="shared" si="10"/>
        <v>0</v>
      </c>
      <c r="Q30" s="57">
        <f t="shared" si="11"/>
        <v>0</v>
      </c>
      <c r="R30" s="165"/>
      <c r="T30" s="692"/>
      <c r="U30" s="54"/>
      <c r="V30" s="54"/>
      <c r="W30" s="54">
        <f t="shared" si="7"/>
        <v>0</v>
      </c>
      <c r="X30" s="53"/>
      <c r="Y30" s="53"/>
      <c r="Z30" s="57"/>
      <c r="AA30" s="57">
        <f t="shared" si="8"/>
        <v>0</v>
      </c>
      <c r="AB30" s="169"/>
      <c r="AD30" s="692"/>
      <c r="AE30" s="694"/>
      <c r="AF30" s="57"/>
      <c r="AG30" s="54"/>
      <c r="AH30" s="694"/>
      <c r="AI30" s="53"/>
      <c r="AJ30" s="57">
        <f t="shared" si="4"/>
        <v>0</v>
      </c>
      <c r="AK30" s="57">
        <f t="shared" si="5"/>
        <v>0</v>
      </c>
      <c r="AL30" s="169"/>
      <c r="AN30" s="692"/>
      <c r="AO30" s="54"/>
      <c r="AP30" s="54"/>
      <c r="AQ30" s="54">
        <f t="shared" si="6"/>
        <v>0</v>
      </c>
      <c r="AR30" s="53"/>
      <c r="AS30" s="53"/>
      <c r="AT30" s="57"/>
      <c r="AU30" s="57">
        <f t="shared" si="3"/>
        <v>0</v>
      </c>
      <c r="AV30" s="169"/>
    </row>
    <row r="31" spans="2:48">
      <c r="B31" s="662"/>
      <c r="C31" s="87"/>
      <c r="D31" s="87"/>
      <c r="E31" s="87"/>
      <c r="F31" s="87"/>
      <c r="G31" s="87"/>
      <c r="H31" s="166"/>
      <c r="J31" s="693"/>
      <c r="K31" s="695"/>
      <c r="L31" s="58"/>
      <c r="M31" s="56"/>
      <c r="N31" s="695"/>
      <c r="O31" s="9">
        <f t="shared" ref="O31" si="24">+IF(K30=1,ROUND(12.2*L31^0.711,3),IF(K30=2,ROUND(4.8*L31^0.776,3),IF(K30=3,ROUND(14.2*L31^0.676,3),IF(K30=4,ROUND(4.8*L31,3),IF(K30=6,ROUND(7.5*L31,3),IF(K30=7,ROUND(4.9*L31,3),0))))))</f>
        <v>0</v>
      </c>
      <c r="P31" s="59">
        <f t="shared" si="10"/>
        <v>0</v>
      </c>
      <c r="Q31" s="59">
        <f t="shared" si="11"/>
        <v>0</v>
      </c>
      <c r="R31" s="166"/>
      <c r="T31" s="693"/>
      <c r="U31" s="55"/>
      <c r="V31" s="55"/>
      <c r="W31" s="56">
        <f t="shared" si="7"/>
        <v>0</v>
      </c>
      <c r="X31" s="9"/>
      <c r="Y31" s="9"/>
      <c r="Z31" s="58"/>
      <c r="AA31" s="59">
        <f t="shared" si="8"/>
        <v>0</v>
      </c>
      <c r="AB31" s="166"/>
      <c r="AD31" s="693"/>
      <c r="AE31" s="695"/>
      <c r="AF31" s="58"/>
      <c r="AG31" s="56"/>
      <c r="AH31" s="695"/>
      <c r="AI31" s="9"/>
      <c r="AJ31" s="59">
        <f t="shared" si="4"/>
        <v>0</v>
      </c>
      <c r="AK31" s="59">
        <f t="shared" si="5"/>
        <v>0</v>
      </c>
      <c r="AL31" s="166"/>
      <c r="AN31" s="693"/>
      <c r="AO31" s="55"/>
      <c r="AP31" s="55"/>
      <c r="AQ31" s="56">
        <f t="shared" si="6"/>
        <v>0</v>
      </c>
      <c r="AR31" s="9"/>
      <c r="AS31" s="9"/>
      <c r="AT31" s="58"/>
      <c r="AU31" s="59">
        <f t="shared" si="3"/>
        <v>0</v>
      </c>
      <c r="AV31" s="166"/>
    </row>
    <row r="32" spans="2:48">
      <c r="B32" s="661"/>
      <c r="C32" s="88"/>
      <c r="D32" s="88"/>
      <c r="E32" s="88"/>
      <c r="F32" s="88"/>
      <c r="G32" s="88"/>
      <c r="H32" s="168"/>
      <c r="J32" s="692"/>
      <c r="K32" s="694"/>
      <c r="L32" s="57"/>
      <c r="M32" s="54"/>
      <c r="N32" s="694"/>
      <c r="O32" s="8">
        <f t="shared" ref="O32" si="25">+IF(K32=1,ROUND(12.2*L32^0.711,3),IF(K32=2,ROUND(4.8*L32^0.776,3),IF(K32=3,ROUND(14.2*L32^0.676,3),IF(K32=4,ROUND(4.8*L32,3),IF(K32=6,ROUND(7.5*L32,3),IF(K32=7,ROUND(4.9*L32,3),0))))))</f>
        <v>0</v>
      </c>
      <c r="P32" s="57">
        <f t="shared" si="10"/>
        <v>0</v>
      </c>
      <c r="Q32" s="57">
        <f t="shared" si="11"/>
        <v>0</v>
      </c>
      <c r="R32" s="165"/>
      <c r="T32" s="692"/>
      <c r="U32" s="54"/>
      <c r="V32" s="54"/>
      <c r="W32" s="54">
        <f t="shared" si="7"/>
        <v>0</v>
      </c>
      <c r="X32" s="53"/>
      <c r="Y32" s="53"/>
      <c r="Z32" s="57"/>
      <c r="AA32" s="57">
        <f t="shared" si="8"/>
        <v>0</v>
      </c>
      <c r="AB32" s="169"/>
      <c r="AD32" s="692"/>
      <c r="AE32" s="694"/>
      <c r="AF32" s="57"/>
      <c r="AG32" s="54"/>
      <c r="AH32" s="694"/>
      <c r="AI32" s="53"/>
      <c r="AJ32" s="57">
        <f t="shared" si="4"/>
        <v>0</v>
      </c>
      <c r="AK32" s="57">
        <f t="shared" si="5"/>
        <v>0</v>
      </c>
      <c r="AL32" s="169"/>
      <c r="AN32" s="692"/>
      <c r="AO32" s="54"/>
      <c r="AP32" s="54"/>
      <c r="AQ32" s="54">
        <f t="shared" si="6"/>
        <v>0</v>
      </c>
      <c r="AR32" s="53"/>
      <c r="AS32" s="53"/>
      <c r="AT32" s="57"/>
      <c r="AU32" s="57">
        <f t="shared" si="3"/>
        <v>0</v>
      </c>
      <c r="AV32" s="169"/>
    </row>
    <row r="33" spans="2:48">
      <c r="B33" s="662"/>
      <c r="C33" s="87"/>
      <c r="D33" s="87"/>
      <c r="E33" s="87"/>
      <c r="F33" s="87"/>
      <c r="G33" s="87"/>
      <c r="H33" s="166"/>
      <c r="J33" s="693"/>
      <c r="K33" s="695"/>
      <c r="L33" s="58"/>
      <c r="M33" s="56"/>
      <c r="N33" s="695"/>
      <c r="O33" s="9">
        <f t="shared" ref="O33" si="26">+IF(K32=1,ROUND(12.2*L33^0.711,3),IF(K32=2,ROUND(4.8*L33^0.776,3),IF(K32=3,ROUND(14.2*L33^0.676,3),IF(K32=4,ROUND(4.8*L33,3),IF(K32=6,ROUND(7.5*L33,3),IF(K32=7,ROUND(4.9*L33,3),0))))))</f>
        <v>0</v>
      </c>
      <c r="P33" s="59">
        <f t="shared" si="10"/>
        <v>0</v>
      </c>
      <c r="Q33" s="59">
        <f t="shared" si="11"/>
        <v>0</v>
      </c>
      <c r="R33" s="166"/>
      <c r="T33" s="693"/>
      <c r="U33" s="55"/>
      <c r="V33" s="55"/>
      <c r="W33" s="56">
        <f t="shared" si="7"/>
        <v>0</v>
      </c>
      <c r="X33" s="9"/>
      <c r="Y33" s="9"/>
      <c r="Z33" s="58"/>
      <c r="AA33" s="59">
        <f t="shared" si="8"/>
        <v>0</v>
      </c>
      <c r="AB33" s="166"/>
      <c r="AD33" s="693"/>
      <c r="AE33" s="695"/>
      <c r="AF33" s="58"/>
      <c r="AG33" s="56"/>
      <c r="AH33" s="695"/>
      <c r="AI33" s="9"/>
      <c r="AJ33" s="59">
        <f t="shared" si="4"/>
        <v>0</v>
      </c>
      <c r="AK33" s="59">
        <f t="shared" si="5"/>
        <v>0</v>
      </c>
      <c r="AL33" s="166"/>
      <c r="AN33" s="693"/>
      <c r="AO33" s="55"/>
      <c r="AP33" s="55"/>
      <c r="AQ33" s="56">
        <f t="shared" si="6"/>
        <v>0</v>
      </c>
      <c r="AR33" s="9"/>
      <c r="AS33" s="9"/>
      <c r="AT33" s="58"/>
      <c r="AU33" s="59">
        <f t="shared" si="3"/>
        <v>0</v>
      </c>
      <c r="AV33" s="166"/>
    </row>
    <row r="34" spans="2:48">
      <c r="B34" s="661"/>
      <c r="C34" s="88"/>
      <c r="D34" s="88"/>
      <c r="E34" s="88"/>
      <c r="F34" s="88"/>
      <c r="G34" s="88"/>
      <c r="H34" s="168"/>
      <c r="J34" s="692"/>
      <c r="K34" s="694"/>
      <c r="L34" s="57"/>
      <c r="M34" s="54"/>
      <c r="N34" s="694"/>
      <c r="O34" s="8">
        <f t="shared" ref="O34" si="27">+IF(K34=1,ROUND(12.2*L34^0.711,3),IF(K34=2,ROUND(4.8*L34^0.776,3),IF(K34=3,ROUND(14.2*L34^0.676,3),IF(K34=4,ROUND(4.8*L34,3),IF(K34=6,ROUND(7.5*L34,3),IF(K34=7,ROUND(4.9*L34,3),0))))))</f>
        <v>0</v>
      </c>
      <c r="P34" s="57">
        <f t="shared" si="10"/>
        <v>0</v>
      </c>
      <c r="Q34" s="57">
        <f t="shared" si="11"/>
        <v>0</v>
      </c>
      <c r="R34" s="165"/>
      <c r="T34" s="692"/>
      <c r="U34" s="54"/>
      <c r="V34" s="54"/>
      <c r="W34" s="54">
        <f t="shared" si="7"/>
        <v>0</v>
      </c>
      <c r="X34" s="53"/>
      <c r="Y34" s="53"/>
      <c r="Z34" s="57"/>
      <c r="AA34" s="57">
        <f t="shared" si="8"/>
        <v>0</v>
      </c>
      <c r="AB34" s="169"/>
      <c r="AD34" s="692"/>
      <c r="AE34" s="694"/>
      <c r="AF34" s="57"/>
      <c r="AG34" s="54"/>
      <c r="AH34" s="694"/>
      <c r="AI34" s="53"/>
      <c r="AJ34" s="57">
        <f t="shared" si="4"/>
        <v>0</v>
      </c>
      <c r="AK34" s="57">
        <f t="shared" si="5"/>
        <v>0</v>
      </c>
      <c r="AL34" s="169"/>
      <c r="AN34" s="692"/>
      <c r="AO34" s="54"/>
      <c r="AP34" s="54"/>
      <c r="AQ34" s="54">
        <f t="shared" si="6"/>
        <v>0</v>
      </c>
      <c r="AR34" s="53"/>
      <c r="AS34" s="53"/>
      <c r="AT34" s="57"/>
      <c r="AU34" s="57">
        <f t="shared" si="3"/>
        <v>0</v>
      </c>
      <c r="AV34" s="169"/>
    </row>
    <row r="35" spans="2:48">
      <c r="B35" s="662"/>
      <c r="C35" s="87"/>
      <c r="D35" s="87"/>
      <c r="E35" s="87"/>
      <c r="F35" s="87"/>
      <c r="G35" s="87"/>
      <c r="H35" s="166"/>
      <c r="J35" s="693"/>
      <c r="K35" s="695"/>
      <c r="L35" s="58"/>
      <c r="M35" s="56"/>
      <c r="N35" s="695"/>
      <c r="O35" s="9">
        <f t="shared" ref="O35" si="28">+IF(K34=1,ROUND(12.2*L35^0.711,3),IF(K34=2,ROUND(4.8*L35^0.776,3),IF(K34=3,ROUND(14.2*L35^0.676,3),IF(K34=4,ROUND(4.8*L35,3),IF(K34=6,ROUND(7.5*L35,3),IF(K34=7,ROUND(4.9*L35,3),0))))))</f>
        <v>0</v>
      </c>
      <c r="P35" s="59">
        <f t="shared" si="10"/>
        <v>0</v>
      </c>
      <c r="Q35" s="59">
        <f t="shared" si="11"/>
        <v>0</v>
      </c>
      <c r="R35" s="166"/>
      <c r="T35" s="693"/>
      <c r="U35" s="55"/>
      <c r="V35" s="55"/>
      <c r="W35" s="56">
        <f t="shared" si="7"/>
        <v>0</v>
      </c>
      <c r="X35" s="9"/>
      <c r="Y35" s="9"/>
      <c r="Z35" s="58"/>
      <c r="AA35" s="59">
        <f t="shared" si="8"/>
        <v>0</v>
      </c>
      <c r="AB35" s="166"/>
      <c r="AD35" s="693"/>
      <c r="AE35" s="695"/>
      <c r="AF35" s="58"/>
      <c r="AG35" s="56"/>
      <c r="AH35" s="695"/>
      <c r="AI35" s="9"/>
      <c r="AJ35" s="59">
        <f t="shared" si="4"/>
        <v>0</v>
      </c>
      <c r="AK35" s="59">
        <f t="shared" si="5"/>
        <v>0</v>
      </c>
      <c r="AL35" s="166"/>
      <c r="AN35" s="693"/>
      <c r="AO35" s="55"/>
      <c r="AP35" s="55"/>
      <c r="AQ35" s="56">
        <f t="shared" si="6"/>
        <v>0</v>
      </c>
      <c r="AR35" s="9"/>
      <c r="AS35" s="9"/>
      <c r="AT35" s="58"/>
      <c r="AU35" s="59">
        <f t="shared" si="3"/>
        <v>0</v>
      </c>
      <c r="AV35" s="166"/>
    </row>
    <row r="36" spans="2:48">
      <c r="B36" s="661"/>
      <c r="C36" s="88"/>
      <c r="D36" s="88"/>
      <c r="E36" s="88"/>
      <c r="F36" s="88"/>
      <c r="G36" s="88"/>
      <c r="H36" s="168"/>
      <c r="J36" s="692"/>
      <c r="K36" s="694"/>
      <c r="L36" s="57"/>
      <c r="M36" s="54"/>
      <c r="N36" s="694"/>
      <c r="O36" s="8">
        <f t="shared" ref="O36" si="29">+IF(K36=1,ROUND(12.2*L36^0.711,3),IF(K36=2,ROUND(4.8*L36^0.776,3),IF(K36=3,ROUND(14.2*L36^0.676,3),IF(K36=4,ROUND(4.8*L36,3),IF(K36=6,ROUND(7.5*L36,3),IF(K36=7,ROUND(4.9*L36,3),0))))))</f>
        <v>0</v>
      </c>
      <c r="P36" s="57">
        <f t="shared" si="10"/>
        <v>0</v>
      </c>
      <c r="Q36" s="57">
        <f t="shared" si="11"/>
        <v>0</v>
      </c>
      <c r="R36" s="165"/>
      <c r="T36" s="692"/>
      <c r="U36" s="54"/>
      <c r="V36" s="54"/>
      <c r="W36" s="54">
        <f t="shared" si="7"/>
        <v>0</v>
      </c>
      <c r="X36" s="53"/>
      <c r="Y36" s="53"/>
      <c r="Z36" s="57"/>
      <c r="AA36" s="57">
        <f t="shared" si="8"/>
        <v>0</v>
      </c>
      <c r="AB36" s="169"/>
      <c r="AD36" s="692"/>
      <c r="AE36" s="694"/>
      <c r="AF36" s="57"/>
      <c r="AG36" s="54"/>
      <c r="AH36" s="694"/>
      <c r="AI36" s="53"/>
      <c r="AJ36" s="57">
        <f t="shared" si="4"/>
        <v>0</v>
      </c>
      <c r="AK36" s="57">
        <f t="shared" si="5"/>
        <v>0</v>
      </c>
      <c r="AL36" s="169"/>
      <c r="AN36" s="692"/>
      <c r="AO36" s="54"/>
      <c r="AP36" s="54"/>
      <c r="AQ36" s="54">
        <f t="shared" si="6"/>
        <v>0</v>
      </c>
      <c r="AR36" s="53"/>
      <c r="AS36" s="53"/>
      <c r="AT36" s="57"/>
      <c r="AU36" s="57">
        <f t="shared" si="3"/>
        <v>0</v>
      </c>
      <c r="AV36" s="169"/>
    </row>
    <row r="37" spans="2:48">
      <c r="B37" s="662"/>
      <c r="C37" s="87"/>
      <c r="D37" s="87"/>
      <c r="E37" s="87"/>
      <c r="F37" s="87"/>
      <c r="G37" s="87"/>
      <c r="H37" s="166"/>
      <c r="J37" s="693"/>
      <c r="K37" s="695"/>
      <c r="L37" s="58"/>
      <c r="M37" s="56"/>
      <c r="N37" s="695"/>
      <c r="O37" s="9">
        <f t="shared" ref="O37" si="30">+IF(K36=1,ROUND(12.2*L37^0.711,3),IF(K36=2,ROUND(4.8*L37^0.776,3),IF(K36=3,ROUND(14.2*L37^0.676,3),IF(K36=4,ROUND(4.8*L37,3),IF(K36=6,ROUND(7.5*L37,3),IF(K36=7,ROUND(4.9*L37,3),0))))))</f>
        <v>0</v>
      </c>
      <c r="P37" s="59">
        <f t="shared" si="10"/>
        <v>0</v>
      </c>
      <c r="Q37" s="59">
        <f t="shared" si="11"/>
        <v>0</v>
      </c>
      <c r="R37" s="166"/>
      <c r="T37" s="693"/>
      <c r="U37" s="55"/>
      <c r="V37" s="55"/>
      <c r="W37" s="56">
        <f t="shared" si="7"/>
        <v>0</v>
      </c>
      <c r="X37" s="9"/>
      <c r="Y37" s="9"/>
      <c r="Z37" s="58"/>
      <c r="AA37" s="59">
        <f t="shared" si="8"/>
        <v>0</v>
      </c>
      <c r="AB37" s="166"/>
      <c r="AD37" s="693"/>
      <c r="AE37" s="695"/>
      <c r="AF37" s="58"/>
      <c r="AG37" s="56"/>
      <c r="AH37" s="695"/>
      <c r="AI37" s="9"/>
      <c r="AJ37" s="59">
        <f t="shared" si="4"/>
        <v>0</v>
      </c>
      <c r="AK37" s="59">
        <f t="shared" si="5"/>
        <v>0</v>
      </c>
      <c r="AL37" s="166"/>
      <c r="AN37" s="693"/>
      <c r="AO37" s="55"/>
      <c r="AP37" s="55"/>
      <c r="AQ37" s="56">
        <f t="shared" si="6"/>
        <v>0</v>
      </c>
      <c r="AR37" s="9"/>
      <c r="AS37" s="9"/>
      <c r="AT37" s="58"/>
      <c r="AU37" s="59">
        <f t="shared" si="3"/>
        <v>0</v>
      </c>
      <c r="AV37" s="166"/>
    </row>
    <row r="38" spans="2:48">
      <c r="B38" s="661"/>
      <c r="C38" s="88"/>
      <c r="D38" s="88"/>
      <c r="E38" s="88"/>
      <c r="F38" s="88"/>
      <c r="G38" s="88"/>
      <c r="H38" s="168"/>
      <c r="J38" s="692"/>
      <c r="K38" s="694"/>
      <c r="L38" s="57"/>
      <c r="M38" s="54"/>
      <c r="N38" s="694"/>
      <c r="O38" s="8">
        <f t="shared" ref="O38" si="31">+IF(K38=1,ROUND(12.2*L38^0.711,3),IF(K38=2,ROUND(4.8*L38^0.776,3),IF(K38=3,ROUND(14.2*L38^0.676,3),IF(K38=4,ROUND(4.8*L38,3),IF(K38=6,ROUND(7.5*L38,3),IF(K38=7,ROUND(4.9*L38,3),0))))))</f>
        <v>0</v>
      </c>
      <c r="P38" s="57">
        <f t="shared" si="10"/>
        <v>0</v>
      </c>
      <c r="Q38" s="57">
        <f t="shared" si="11"/>
        <v>0</v>
      </c>
      <c r="R38" s="165"/>
      <c r="T38" s="692"/>
      <c r="U38" s="54"/>
      <c r="V38" s="54"/>
      <c r="W38" s="54">
        <f t="shared" si="7"/>
        <v>0</v>
      </c>
      <c r="X38" s="53"/>
      <c r="Y38" s="53"/>
      <c r="Z38" s="57"/>
      <c r="AA38" s="57">
        <f t="shared" si="8"/>
        <v>0</v>
      </c>
      <c r="AB38" s="169"/>
      <c r="AD38" s="692"/>
      <c r="AE38" s="694"/>
      <c r="AF38" s="57"/>
      <c r="AG38" s="54"/>
      <c r="AH38" s="694"/>
      <c r="AI38" s="53"/>
      <c r="AJ38" s="57">
        <f t="shared" si="4"/>
        <v>0</v>
      </c>
      <c r="AK38" s="57">
        <f t="shared" si="5"/>
        <v>0</v>
      </c>
      <c r="AL38" s="169"/>
      <c r="AN38" s="692"/>
      <c r="AO38" s="54"/>
      <c r="AP38" s="54"/>
      <c r="AQ38" s="54">
        <f t="shared" si="6"/>
        <v>0</v>
      </c>
      <c r="AR38" s="53"/>
      <c r="AS38" s="53"/>
      <c r="AT38" s="57"/>
      <c r="AU38" s="57">
        <f t="shared" si="3"/>
        <v>0</v>
      </c>
      <c r="AV38" s="169"/>
    </row>
    <row r="39" spans="2:48">
      <c r="B39" s="662"/>
      <c r="C39" s="87"/>
      <c r="D39" s="87"/>
      <c r="E39" s="87"/>
      <c r="F39" s="87"/>
      <c r="G39" s="87"/>
      <c r="H39" s="166"/>
      <c r="J39" s="693"/>
      <c r="K39" s="695"/>
      <c r="L39" s="58"/>
      <c r="M39" s="56"/>
      <c r="N39" s="695"/>
      <c r="O39" s="9">
        <f t="shared" ref="O39" si="32">+IF(K38=1,ROUND(12.2*L39^0.711,3),IF(K38=2,ROUND(4.8*L39^0.776,3),IF(K38=3,ROUND(14.2*L39^0.676,3),IF(K38=4,ROUND(4.8*L39,3),IF(K38=6,ROUND(7.5*L39,3),IF(K38=7,ROUND(4.9*L39,3),0))))))</f>
        <v>0</v>
      </c>
      <c r="P39" s="59">
        <f t="shared" si="10"/>
        <v>0</v>
      </c>
      <c r="Q39" s="59">
        <f t="shared" si="11"/>
        <v>0</v>
      </c>
      <c r="R39" s="166"/>
      <c r="T39" s="693"/>
      <c r="U39" s="55"/>
      <c r="V39" s="55"/>
      <c r="W39" s="56">
        <f t="shared" si="7"/>
        <v>0</v>
      </c>
      <c r="X39" s="9"/>
      <c r="Y39" s="9"/>
      <c r="Z39" s="58"/>
      <c r="AA39" s="59">
        <f t="shared" si="8"/>
        <v>0</v>
      </c>
      <c r="AB39" s="166"/>
      <c r="AD39" s="693"/>
      <c r="AE39" s="695"/>
      <c r="AF39" s="58"/>
      <c r="AG39" s="56"/>
      <c r="AH39" s="695"/>
      <c r="AI39" s="9"/>
      <c r="AJ39" s="59">
        <f t="shared" si="4"/>
        <v>0</v>
      </c>
      <c r="AK39" s="59">
        <f t="shared" si="5"/>
        <v>0</v>
      </c>
      <c r="AL39" s="166"/>
      <c r="AN39" s="693"/>
      <c r="AO39" s="55"/>
      <c r="AP39" s="55"/>
      <c r="AQ39" s="56">
        <f t="shared" si="6"/>
        <v>0</v>
      </c>
      <c r="AR39" s="9"/>
      <c r="AS39" s="9"/>
      <c r="AT39" s="58"/>
      <c r="AU39" s="59">
        <f t="shared" si="3"/>
        <v>0</v>
      </c>
      <c r="AV39" s="166"/>
    </row>
    <row r="40" spans="2:48">
      <c r="B40" s="661"/>
      <c r="C40" s="88"/>
      <c r="D40" s="88"/>
      <c r="E40" s="88"/>
      <c r="F40" s="88"/>
      <c r="G40" s="88"/>
      <c r="H40" s="168"/>
      <c r="J40" s="692"/>
      <c r="K40" s="694"/>
      <c r="L40" s="57"/>
      <c r="M40" s="54"/>
      <c r="N40" s="694"/>
      <c r="O40" s="8">
        <f t="shared" ref="O40" si="33">+IF(K40=1,ROUND(12.2*L40^0.711,3),IF(K40=2,ROUND(4.8*L40^0.776,3),IF(K40=3,ROUND(14.2*L40^0.676,3),IF(K40=4,ROUND(4.8*L40,3),IF(K40=6,ROUND(7.5*L40,3),IF(K40=7,ROUND(4.9*L40,3),0))))))</f>
        <v>0</v>
      </c>
      <c r="P40" s="57">
        <f t="shared" si="10"/>
        <v>0</v>
      </c>
      <c r="Q40" s="57">
        <f t="shared" si="11"/>
        <v>0</v>
      </c>
      <c r="R40" s="165"/>
      <c r="T40" s="692"/>
      <c r="U40" s="54"/>
      <c r="V40" s="54"/>
      <c r="W40" s="54">
        <f t="shared" si="7"/>
        <v>0</v>
      </c>
      <c r="X40" s="53"/>
      <c r="Y40" s="53"/>
      <c r="Z40" s="57"/>
      <c r="AA40" s="57">
        <f t="shared" si="8"/>
        <v>0</v>
      </c>
      <c r="AB40" s="169"/>
      <c r="AD40" s="692"/>
      <c r="AE40" s="694"/>
      <c r="AF40" s="57"/>
      <c r="AG40" s="54"/>
      <c r="AH40" s="694"/>
      <c r="AI40" s="53"/>
      <c r="AJ40" s="57">
        <f t="shared" si="4"/>
        <v>0</v>
      </c>
      <c r="AK40" s="57">
        <f t="shared" si="5"/>
        <v>0</v>
      </c>
      <c r="AL40" s="169"/>
      <c r="AN40" s="692"/>
      <c r="AO40" s="54"/>
      <c r="AP40" s="54"/>
      <c r="AQ40" s="54">
        <f t="shared" si="6"/>
        <v>0</v>
      </c>
      <c r="AR40" s="53"/>
      <c r="AS40" s="53"/>
      <c r="AT40" s="57"/>
      <c r="AU40" s="57">
        <f t="shared" si="3"/>
        <v>0</v>
      </c>
      <c r="AV40" s="169"/>
    </row>
    <row r="41" spans="2:48">
      <c r="B41" s="662"/>
      <c r="C41" s="87"/>
      <c r="D41" s="87"/>
      <c r="E41" s="87"/>
      <c r="F41" s="87"/>
      <c r="G41" s="87"/>
      <c r="H41" s="166"/>
      <c r="J41" s="693"/>
      <c r="K41" s="695"/>
      <c r="L41" s="58"/>
      <c r="M41" s="56"/>
      <c r="N41" s="695"/>
      <c r="O41" s="9">
        <f t="shared" ref="O41" si="34">+IF(K40=1,ROUND(12.2*L41^0.711,3),IF(K40=2,ROUND(4.8*L41^0.776,3),IF(K40=3,ROUND(14.2*L41^0.676,3),IF(K40=4,ROUND(4.8*L41,3),IF(K40=6,ROUND(7.5*L41,3),IF(K40=7,ROUND(4.9*L41,3),0))))))</f>
        <v>0</v>
      </c>
      <c r="P41" s="59">
        <f t="shared" si="10"/>
        <v>0</v>
      </c>
      <c r="Q41" s="59">
        <f t="shared" si="11"/>
        <v>0</v>
      </c>
      <c r="R41" s="166"/>
      <c r="T41" s="693"/>
      <c r="U41" s="55"/>
      <c r="V41" s="55"/>
      <c r="W41" s="56">
        <f t="shared" si="7"/>
        <v>0</v>
      </c>
      <c r="X41" s="9"/>
      <c r="Y41" s="9"/>
      <c r="Z41" s="58"/>
      <c r="AA41" s="59">
        <f t="shared" si="8"/>
        <v>0</v>
      </c>
      <c r="AB41" s="166"/>
      <c r="AD41" s="693"/>
      <c r="AE41" s="695"/>
      <c r="AF41" s="58"/>
      <c r="AG41" s="56"/>
      <c r="AH41" s="695"/>
      <c r="AI41" s="9"/>
      <c r="AJ41" s="59">
        <f t="shared" si="4"/>
        <v>0</v>
      </c>
      <c r="AK41" s="59">
        <f t="shared" si="5"/>
        <v>0</v>
      </c>
      <c r="AL41" s="166"/>
      <c r="AN41" s="693"/>
      <c r="AO41" s="55"/>
      <c r="AP41" s="55"/>
      <c r="AQ41" s="56">
        <f t="shared" si="6"/>
        <v>0</v>
      </c>
      <c r="AR41" s="9"/>
      <c r="AS41" s="9"/>
      <c r="AT41" s="58"/>
      <c r="AU41" s="59">
        <f t="shared" si="3"/>
        <v>0</v>
      </c>
      <c r="AV41" s="166"/>
    </row>
    <row r="42" spans="2:48">
      <c r="B42" s="692" t="s">
        <v>79</v>
      </c>
      <c r="C42" s="88">
        <f>+SUM(C6,C8,C10,C12,C14,C16,C18,C20,C22,C24,C26,C28,C30,C32,C34,C36,C38,C40)</f>
        <v>0</v>
      </c>
      <c r="D42" s="88">
        <f t="shared" ref="D42:G43" si="35">+SUM(D6,D8,D10,D12,D14,D16,D18,D20,D22,D24,D26,D28,D30,D32,D34,D36,D38,D40)</f>
        <v>0</v>
      </c>
      <c r="E42" s="88">
        <f t="shared" si="35"/>
        <v>0</v>
      </c>
      <c r="F42" s="88">
        <f t="shared" si="35"/>
        <v>0</v>
      </c>
      <c r="G42" s="88">
        <f t="shared" si="35"/>
        <v>0</v>
      </c>
      <c r="H42" s="168"/>
      <c r="J42" s="692" t="s">
        <v>79</v>
      </c>
      <c r="K42" s="694"/>
      <c r="L42" s="57"/>
      <c r="M42" s="54"/>
      <c r="N42" s="694"/>
      <c r="O42" s="53"/>
      <c r="P42" s="57">
        <f>+SUM(P6,P8,P10,P12,P14,P16,P18,P20,P22,P24,P26,P28,P30,P32,P34,P36,P38,P40)</f>
        <v>0</v>
      </c>
      <c r="Q42" s="57">
        <f>+SUM(Q6,Q8,Q10,Q12,Q14,Q16,Q18,Q20,Q22,Q24,Q26,Q28,Q30,Q32,Q34,Q36,Q38,Q40)</f>
        <v>0</v>
      </c>
      <c r="R42" s="165"/>
      <c r="T42" s="692"/>
      <c r="U42" s="54"/>
      <c r="V42" s="54"/>
      <c r="W42" s="54">
        <f t="shared" si="7"/>
        <v>0</v>
      </c>
      <c r="X42" s="53"/>
      <c r="Y42" s="53"/>
      <c r="Z42" s="57"/>
      <c r="AA42" s="57">
        <f t="shared" si="8"/>
        <v>0</v>
      </c>
      <c r="AB42" s="169"/>
      <c r="AD42" s="692" t="s">
        <v>79</v>
      </c>
      <c r="AE42" s="694"/>
      <c r="AF42" s="57"/>
      <c r="AG42" s="54"/>
      <c r="AH42" s="694"/>
      <c r="AI42" s="53"/>
      <c r="AJ42" s="57">
        <f>+SUM(AJ6,AJ8,AJ10,AJ12,AJ14,AJ16,AJ18,AJ20,AJ22,AJ24,AJ26,AJ28,AJ30,AJ32,AJ34,AJ36,AJ38,AJ40)</f>
        <v>0</v>
      </c>
      <c r="AK42" s="57">
        <f>+SUM(AK6,AK8,AK10,AK12,AK14,AK16,AK18,AK20,AK22,AK24,AK26,AK28,AK30,AK32,AK34,AK36,AK38,AK40)</f>
        <v>0</v>
      </c>
      <c r="AL42" s="169"/>
      <c r="AN42" s="692"/>
      <c r="AO42" s="54"/>
      <c r="AP42" s="54"/>
      <c r="AQ42" s="54">
        <f t="shared" si="6"/>
        <v>0</v>
      </c>
      <c r="AR42" s="53"/>
      <c r="AS42" s="53"/>
      <c r="AT42" s="57"/>
      <c r="AU42" s="57">
        <f t="shared" si="3"/>
        <v>0</v>
      </c>
      <c r="AV42" s="169"/>
    </row>
    <row r="43" spans="2:48">
      <c r="B43" s="693"/>
      <c r="C43" s="89">
        <f>+SUM(C7,C9,C11,C13,C15,C17,C19,C21,C23,C25,C27,C29,C31,C33,C35,C37,C39,C41)</f>
        <v>0</v>
      </c>
      <c r="D43" s="89">
        <f t="shared" si="35"/>
        <v>0</v>
      </c>
      <c r="E43" s="89">
        <f t="shared" si="35"/>
        <v>0</v>
      </c>
      <c r="F43" s="89">
        <f t="shared" si="35"/>
        <v>0</v>
      </c>
      <c r="G43" s="89">
        <f t="shared" si="35"/>
        <v>0</v>
      </c>
      <c r="H43" s="166"/>
      <c r="J43" s="693"/>
      <c r="K43" s="695"/>
      <c r="L43" s="58"/>
      <c r="M43" s="56"/>
      <c r="N43" s="695"/>
      <c r="O43" s="9"/>
      <c r="P43" s="57">
        <f>+SUM(P7,P9,P11,P13,P15,P17,P19,P21,P23,P25,P27,P29,P31,P33,P35,P37,P39,P41)</f>
        <v>0</v>
      </c>
      <c r="Q43" s="57">
        <f>+SUM(Q7,Q9,Q11,Q13,Q15,Q17,Q19,Q21,Q23,Q25,Q27,Q29,Q31,Q33,Q35,Q37,Q39,Q41)</f>
        <v>0</v>
      </c>
      <c r="R43" s="166"/>
      <c r="T43" s="693"/>
      <c r="U43" s="55"/>
      <c r="V43" s="55"/>
      <c r="W43" s="56">
        <f t="shared" si="7"/>
        <v>0</v>
      </c>
      <c r="X43" s="9"/>
      <c r="Y43" s="9"/>
      <c r="Z43" s="58"/>
      <c r="AA43" s="59">
        <f t="shared" si="8"/>
        <v>0</v>
      </c>
      <c r="AB43" s="166"/>
      <c r="AD43" s="693"/>
      <c r="AE43" s="695"/>
      <c r="AF43" s="58"/>
      <c r="AG43" s="56"/>
      <c r="AH43" s="695"/>
      <c r="AI43" s="9"/>
      <c r="AJ43" s="57">
        <f>+SUM(AJ7,AJ9,AJ11,AJ13,AJ15,AJ17,AJ19,AJ21,AJ23,AJ25,AJ27,AJ29,AJ31,AJ33,AJ35,AJ37,AJ39,AJ41)</f>
        <v>0</v>
      </c>
      <c r="AK43" s="57">
        <f>+SUM(AK7,AK9,AK11,AK13,AK15,AK17,AK19,AK21,AK23,AK25,AK27,AK29,AK31,AK33,AK35,AK37,AK39,AK41)</f>
        <v>0</v>
      </c>
      <c r="AL43" s="166"/>
      <c r="AN43" s="693"/>
      <c r="AO43" s="55"/>
      <c r="AP43" s="55"/>
      <c r="AQ43" s="56">
        <f t="shared" si="6"/>
        <v>0</v>
      </c>
      <c r="AR43" s="9"/>
      <c r="AS43" s="9"/>
      <c r="AT43" s="58"/>
      <c r="AU43" s="59">
        <f t="shared" si="3"/>
        <v>0</v>
      </c>
      <c r="AV43" s="166"/>
    </row>
    <row r="44" spans="2:48">
      <c r="J44" s="69" t="s">
        <v>81</v>
      </c>
      <c r="K44" s="70"/>
      <c r="L44" s="70"/>
      <c r="M44" s="70"/>
      <c r="N44" s="71"/>
      <c r="O44" s="71"/>
      <c r="P44" s="71"/>
      <c r="Q44" s="71"/>
      <c r="R44" s="72"/>
      <c r="T44" s="69" t="s">
        <v>943</v>
      </c>
      <c r="U44" s="70"/>
      <c r="V44" s="70"/>
      <c r="W44" s="70"/>
      <c r="X44" s="71"/>
      <c r="Y44" s="71"/>
      <c r="Z44" s="71"/>
      <c r="AA44" s="71"/>
      <c r="AB44" s="72"/>
      <c r="AD44" s="69" t="s">
        <v>81</v>
      </c>
      <c r="AE44" s="70"/>
      <c r="AF44" s="70"/>
      <c r="AG44" s="70"/>
      <c r="AH44" s="71"/>
      <c r="AI44" s="71"/>
      <c r="AJ44" s="71"/>
      <c r="AK44" s="71"/>
      <c r="AL44" s="72"/>
      <c r="AN44" s="69" t="s">
        <v>83</v>
      </c>
      <c r="AO44" s="70"/>
      <c r="AP44" s="70"/>
      <c r="AQ44" s="70"/>
      <c r="AR44" s="71"/>
      <c r="AS44" s="71"/>
      <c r="AT44" s="71"/>
      <c r="AU44" s="71"/>
      <c r="AV44" s="72"/>
    </row>
    <row r="45" spans="2:48">
      <c r="J45" s="73" t="s">
        <v>791</v>
      </c>
      <c r="K45" s="74"/>
      <c r="L45" s="74"/>
      <c r="M45" s="74"/>
      <c r="N45" s="75"/>
      <c r="O45" s="75"/>
      <c r="P45" s="75"/>
      <c r="Q45" s="75"/>
      <c r="R45" s="76"/>
      <c r="T45" s="73" t="s">
        <v>790</v>
      </c>
      <c r="U45" s="74"/>
      <c r="V45" s="74"/>
      <c r="W45" s="74"/>
      <c r="X45" s="75"/>
      <c r="Y45" s="75"/>
      <c r="Z45" s="75"/>
      <c r="AA45" s="75"/>
      <c r="AB45" s="76"/>
      <c r="AD45" s="73" t="s">
        <v>82</v>
      </c>
      <c r="AE45" s="74"/>
      <c r="AF45" s="74"/>
      <c r="AG45" s="74"/>
      <c r="AH45" s="75"/>
      <c r="AI45" s="75"/>
      <c r="AJ45" s="75"/>
      <c r="AK45" s="75"/>
      <c r="AL45" s="76"/>
      <c r="AN45" s="73" t="s">
        <v>333</v>
      </c>
      <c r="AO45" s="74"/>
      <c r="AP45" s="74"/>
      <c r="AQ45" s="74"/>
      <c r="AR45" s="75"/>
      <c r="AS45" s="75"/>
      <c r="AT45" s="75"/>
      <c r="AU45" s="75"/>
      <c r="AV45" s="76"/>
    </row>
    <row r="46" spans="2:48" ht="19.5" thickBot="1">
      <c r="B46" s="85"/>
      <c r="C46" s="85"/>
      <c r="D46" s="85"/>
      <c r="E46" s="85"/>
      <c r="F46" s="85"/>
      <c r="G46" s="85"/>
      <c r="H46" s="85"/>
      <c r="J46" s="77" t="s">
        <v>334</v>
      </c>
      <c r="K46" s="78"/>
      <c r="L46" s="78"/>
      <c r="M46" s="78"/>
      <c r="N46" s="79"/>
      <c r="O46" s="79"/>
      <c r="P46" s="79"/>
      <c r="Q46" s="79"/>
      <c r="R46" s="80"/>
      <c r="T46" s="77"/>
      <c r="U46" s="78"/>
      <c r="V46" s="78"/>
      <c r="W46" s="78"/>
      <c r="X46" s="79"/>
      <c r="Y46" s="79"/>
      <c r="Z46" s="79"/>
      <c r="AA46" s="79"/>
      <c r="AB46" s="80"/>
      <c r="AD46" s="77" t="s">
        <v>334</v>
      </c>
      <c r="AE46" s="78"/>
      <c r="AF46" s="78"/>
      <c r="AG46" s="78"/>
      <c r="AH46" s="79"/>
      <c r="AI46" s="79"/>
      <c r="AJ46" s="79"/>
      <c r="AK46" s="79"/>
      <c r="AL46" s="80"/>
      <c r="AN46" s="77"/>
      <c r="AO46" s="78"/>
      <c r="AP46" s="78"/>
      <c r="AQ46" s="78"/>
      <c r="AR46" s="79"/>
      <c r="AS46" s="79"/>
      <c r="AT46" s="79"/>
      <c r="AU46" s="79"/>
      <c r="AV46" s="80"/>
    </row>
    <row r="47" spans="2:48" ht="19.5" thickTop="1">
      <c r="B47" s="692" t="s">
        <v>78</v>
      </c>
      <c r="C47" s="86">
        <f>+C42</f>
        <v>0</v>
      </c>
      <c r="D47" s="86">
        <f t="shared" ref="D47:G48" si="36">+D42</f>
        <v>0</v>
      </c>
      <c r="E47" s="86">
        <f t="shared" si="36"/>
        <v>0</v>
      </c>
      <c r="F47" s="86">
        <f t="shared" si="36"/>
        <v>0</v>
      </c>
      <c r="G47" s="86">
        <f t="shared" si="36"/>
        <v>0</v>
      </c>
      <c r="H47" s="22"/>
      <c r="J47" s="696" t="s">
        <v>78</v>
      </c>
      <c r="K47" s="67"/>
      <c r="L47" s="698" t="s">
        <v>80</v>
      </c>
      <c r="M47" s="65">
        <f>+M54</f>
        <v>0</v>
      </c>
      <c r="N47" s="690" t="s">
        <v>24</v>
      </c>
      <c r="O47" s="65">
        <f>+O54</f>
        <v>0</v>
      </c>
      <c r="P47" s="690" t="s">
        <v>26</v>
      </c>
      <c r="Q47" s="65">
        <f>+Q54</f>
        <v>0</v>
      </c>
      <c r="R47" s="53"/>
      <c r="T47" s="692" t="s">
        <v>78</v>
      </c>
      <c r="U47" s="54"/>
      <c r="V47" s="54"/>
      <c r="W47" s="64">
        <f>+SUM(W6,W8,W10,W12,W14,W16,W18,W20,W22,W24,W26,W28,W30,W32,W34,W36,W38,W40,W42)</f>
        <v>0</v>
      </c>
      <c r="X47" s="53"/>
      <c r="Y47" s="53"/>
      <c r="Z47" s="53"/>
      <c r="AA47" s="65">
        <f>+SUM(AA6,AA8,AA10,AA12,AA14,AA16,AA18,AA20,AA22,AA24,AA26,AA28,AA30,AA32,AA34,AA36,AA38,AA40,AA42)</f>
        <v>0</v>
      </c>
      <c r="AB47" s="53"/>
      <c r="AD47" s="696" t="s">
        <v>78</v>
      </c>
      <c r="AE47" s="67"/>
      <c r="AF47" s="698" t="s">
        <v>80</v>
      </c>
      <c r="AG47" s="65">
        <f>+AG54</f>
        <v>0</v>
      </c>
      <c r="AH47" s="690" t="s">
        <v>24</v>
      </c>
      <c r="AI47" s="65">
        <f>+AI54</f>
        <v>0</v>
      </c>
      <c r="AJ47" s="690" t="s">
        <v>26</v>
      </c>
      <c r="AK47" s="65">
        <f>+AK54</f>
        <v>0</v>
      </c>
      <c r="AL47" s="53"/>
      <c r="AN47" s="692" t="s">
        <v>78</v>
      </c>
      <c r="AO47" s="54"/>
      <c r="AP47" s="54"/>
      <c r="AQ47" s="64">
        <f>+SUM(AQ6,AQ8,AQ10,AQ12,AQ14,AQ16,AQ18,AQ20,AQ22,AQ24,AQ26,AQ28,AQ30,AQ32,AQ34,AQ36,AQ38,AQ40,AQ42)</f>
        <v>0</v>
      </c>
      <c r="AR47" s="53"/>
      <c r="AS47" s="53"/>
      <c r="AT47" s="53"/>
      <c r="AU47" s="65">
        <f>+SUM(AU6,AU8,AU10,AU12,AU14,AU16,AU18,AU20,AU22,AU24,AU26,AU28,AU30,AU32,AU34,AU36,AU38,AU40,AU42)</f>
        <v>0</v>
      </c>
      <c r="AV47" s="53"/>
    </row>
    <row r="48" spans="2:48">
      <c r="B48" s="693"/>
      <c r="C48" s="87">
        <f>+C43</f>
        <v>0</v>
      </c>
      <c r="D48" s="87">
        <f t="shared" si="36"/>
        <v>0</v>
      </c>
      <c r="E48" s="87">
        <f t="shared" si="36"/>
        <v>0</v>
      </c>
      <c r="F48" s="87">
        <f t="shared" si="36"/>
        <v>0</v>
      </c>
      <c r="G48" s="87">
        <f t="shared" si="36"/>
        <v>0</v>
      </c>
      <c r="H48" s="12"/>
      <c r="J48" s="697"/>
      <c r="K48" s="68"/>
      <c r="L48" s="691"/>
      <c r="M48" s="59">
        <f>+M55</f>
        <v>0</v>
      </c>
      <c r="N48" s="691"/>
      <c r="O48" s="59">
        <f>+O55</f>
        <v>0</v>
      </c>
      <c r="P48" s="691"/>
      <c r="Q48" s="59">
        <f>+Q55</f>
        <v>0</v>
      </c>
      <c r="R48" s="9"/>
      <c r="T48" s="693"/>
      <c r="U48" s="55"/>
      <c r="V48" s="55"/>
      <c r="W48" s="56">
        <f>+SUM(W7,W9,W11,W13,W15,W17,W19,W21,W23,W25,W27,W29,W31,W33,W35,W37,W39,W41,W43)</f>
        <v>0</v>
      </c>
      <c r="X48" s="9"/>
      <c r="Y48" s="9"/>
      <c r="Z48" s="9"/>
      <c r="AA48" s="59">
        <f>+SUM(AA7,AA9,AA11,AA13,AA15,AA17,AA19,AA21,AA23,AA25,AA27,AA29,AA31,AA33,AA35,AA37,AA39,AA41,AA43)</f>
        <v>0</v>
      </c>
      <c r="AB48" s="9"/>
      <c r="AD48" s="697"/>
      <c r="AE48" s="68"/>
      <c r="AF48" s="691"/>
      <c r="AG48" s="59">
        <f>+AG55</f>
        <v>0</v>
      </c>
      <c r="AH48" s="691"/>
      <c r="AI48" s="59">
        <f>+AI55</f>
        <v>0</v>
      </c>
      <c r="AJ48" s="691"/>
      <c r="AK48" s="59">
        <f>+AK55</f>
        <v>0</v>
      </c>
      <c r="AL48" s="9"/>
      <c r="AN48" s="693"/>
      <c r="AO48" s="55"/>
      <c r="AP48" s="55"/>
      <c r="AQ48" s="56">
        <f>+SUM(AQ7,AQ9,AQ11,AQ13,AQ15,AQ17,AQ19,AQ21,AQ23,AQ25,AQ27,AQ29,AQ31,AQ33,AQ35,AQ37,AQ39,AQ41,AQ43)</f>
        <v>0</v>
      </c>
      <c r="AR48" s="9"/>
      <c r="AS48" s="9"/>
      <c r="AT48" s="9"/>
      <c r="AU48" s="59">
        <f>+SUM(AU7,AU9,AU11,AU13,AU15,AU17,AU19,AU21,AU23,AU25,AU27,AU29,AU31,AU33,AU35,AU37,AU39,AU41,AU43)</f>
        <v>0</v>
      </c>
      <c r="AV48" s="9"/>
    </row>
    <row r="50" spans="10:37">
      <c r="J50" s="81" t="s">
        <v>76</v>
      </c>
      <c r="K50" s="84">
        <f>+P42</f>
        <v>0</v>
      </c>
      <c r="M50" s="60">
        <f>+ROUND(K50*90%,3)</f>
        <v>0</v>
      </c>
      <c r="O50" s="60">
        <f>+ROUND(K50*10%,3)</f>
        <v>0</v>
      </c>
      <c r="AD50" s="81" t="s">
        <v>76</v>
      </c>
      <c r="AE50" s="84">
        <f>+AJ42</f>
        <v>0</v>
      </c>
      <c r="AG50" s="60">
        <f>+ROUND(AE50*90%,3)</f>
        <v>0</v>
      </c>
      <c r="AI50" s="60">
        <f>+ROUND(AE50*90%,3)</f>
        <v>0</v>
      </c>
    </row>
    <row r="51" spans="10:37">
      <c r="J51" s="82"/>
      <c r="K51" s="84">
        <f>+P43</f>
        <v>0</v>
      </c>
      <c r="M51" s="60">
        <f>+ROUND(K51*90%,3)</f>
        <v>0</v>
      </c>
      <c r="O51" s="60">
        <f>+ROUND(K51*10%,3)</f>
        <v>0</v>
      </c>
      <c r="AD51" s="82"/>
      <c r="AE51" s="84">
        <f>+AJ43</f>
        <v>0</v>
      </c>
      <c r="AG51" s="60">
        <f>+ROUND(AE51*90%,3)</f>
        <v>0</v>
      </c>
      <c r="AI51" s="60">
        <f>+ROUND(AE51*90%,3)</f>
        <v>0</v>
      </c>
    </row>
    <row r="52" spans="10:37">
      <c r="J52" s="83" t="s">
        <v>77</v>
      </c>
      <c r="K52" s="84">
        <f>+Q42</f>
        <v>0</v>
      </c>
      <c r="Q52" s="84">
        <f>+K52</f>
        <v>0</v>
      </c>
      <c r="AD52" s="83" t="s">
        <v>77</v>
      </c>
      <c r="AE52" s="84">
        <f>+AK42</f>
        <v>0</v>
      </c>
      <c r="AK52" s="84">
        <f>+AE52</f>
        <v>0</v>
      </c>
    </row>
    <row r="53" spans="10:37">
      <c r="K53" s="84">
        <f>+Q43</f>
        <v>0</v>
      </c>
      <c r="Q53" s="84">
        <f>+K53</f>
        <v>0</v>
      </c>
      <c r="AE53" s="84">
        <f>+AK43</f>
        <v>0</v>
      </c>
      <c r="AK53" s="84">
        <f>+AE53</f>
        <v>0</v>
      </c>
    </row>
    <row r="54" spans="10:37">
      <c r="J54" s="81" t="s">
        <v>11</v>
      </c>
      <c r="K54" s="84"/>
      <c r="M54" s="84">
        <f>+M50+M52</f>
        <v>0</v>
      </c>
      <c r="O54" s="84">
        <f>+O50+O52</f>
        <v>0</v>
      </c>
      <c r="Q54" s="84">
        <f>+Q50+Q52</f>
        <v>0</v>
      </c>
      <c r="AD54" s="81" t="s">
        <v>11</v>
      </c>
      <c r="AE54" s="84"/>
      <c r="AG54" s="84">
        <f>+AG50+AG52</f>
        <v>0</v>
      </c>
      <c r="AI54" s="84">
        <f>+AI50+AI52</f>
        <v>0</v>
      </c>
      <c r="AK54" s="84">
        <f>+AK50+AK52</f>
        <v>0</v>
      </c>
    </row>
    <row r="55" spans="10:37">
      <c r="K55" s="84"/>
      <c r="M55" s="84">
        <f>+M51+M53</f>
        <v>0</v>
      </c>
      <c r="O55" s="84">
        <f>+O51+O53</f>
        <v>0</v>
      </c>
      <c r="Q55" s="84">
        <f>+Q51+Q53</f>
        <v>0</v>
      </c>
      <c r="AE55" s="84"/>
      <c r="AG55" s="84">
        <f>+AG51+AG53</f>
        <v>0</v>
      </c>
      <c r="AI55" s="84">
        <f>+AI51+AI53</f>
        <v>0</v>
      </c>
      <c r="AK55" s="84">
        <f>+AK51+AK53</f>
        <v>0</v>
      </c>
    </row>
  </sheetData>
  <mergeCells count="211">
    <mergeCell ref="AV2:AV3"/>
    <mergeCell ref="B4:B5"/>
    <mergeCell ref="C4:C5"/>
    <mergeCell ref="D4:D5"/>
    <mergeCell ref="E4:E5"/>
    <mergeCell ref="F4:F5"/>
    <mergeCell ref="G4:G5"/>
    <mergeCell ref="C2:G3"/>
    <mergeCell ref="H2:H3"/>
    <mergeCell ref="K2:Q3"/>
    <mergeCell ref="R2:R3"/>
    <mergeCell ref="U2:AA3"/>
    <mergeCell ref="AB2:AB3"/>
    <mergeCell ref="AV4:AV5"/>
    <mergeCell ref="AB4:AB5"/>
    <mergeCell ref="AD4:AD5"/>
    <mergeCell ref="AI4:AK4"/>
    <mergeCell ref="AL4:AL5"/>
    <mergeCell ref="AN4:AN5"/>
    <mergeCell ref="AT4:AU4"/>
    <mergeCell ref="H4:H5"/>
    <mergeCell ref="AN6:AN7"/>
    <mergeCell ref="AE2:AK3"/>
    <mergeCell ref="AL2:AL3"/>
    <mergeCell ref="J4:J5"/>
    <mergeCell ref="O4:Q4"/>
    <mergeCell ref="R4:R5"/>
    <mergeCell ref="T4:T5"/>
    <mergeCell ref="Z4:AA4"/>
    <mergeCell ref="AO2:AU3"/>
    <mergeCell ref="AN8:AN9"/>
    <mergeCell ref="B10:B11"/>
    <mergeCell ref="J10:J11"/>
    <mergeCell ref="K10:K11"/>
    <mergeCell ref="N10:N11"/>
    <mergeCell ref="T10:T11"/>
    <mergeCell ref="AD10:AD11"/>
    <mergeCell ref="AE10:AE11"/>
    <mergeCell ref="B8:B9"/>
    <mergeCell ref="J8:J9"/>
    <mergeCell ref="K8:K9"/>
    <mergeCell ref="N8:N9"/>
    <mergeCell ref="T8:T9"/>
    <mergeCell ref="AD8:AD9"/>
    <mergeCell ref="AH10:AH11"/>
    <mergeCell ref="AN10:AN11"/>
    <mergeCell ref="B6:B7"/>
    <mergeCell ref="B12:B13"/>
    <mergeCell ref="J12:J13"/>
    <mergeCell ref="K12:K13"/>
    <mergeCell ref="N12:N13"/>
    <mergeCell ref="T12:T13"/>
    <mergeCell ref="AD12:AD13"/>
    <mergeCell ref="AE12:AE13"/>
    <mergeCell ref="AH12:AH13"/>
    <mergeCell ref="AE8:AE9"/>
    <mergeCell ref="AH8:AH9"/>
    <mergeCell ref="J6:J7"/>
    <mergeCell ref="K6:K7"/>
    <mergeCell ref="N6:N7"/>
    <mergeCell ref="T6:T7"/>
    <mergeCell ref="AD6:AD7"/>
    <mergeCell ref="AE6:AE7"/>
    <mergeCell ref="AH6:AH7"/>
    <mergeCell ref="AN12:AN13"/>
    <mergeCell ref="B14:B15"/>
    <mergeCell ref="J14:J15"/>
    <mergeCell ref="K14:K15"/>
    <mergeCell ref="N14:N15"/>
    <mergeCell ref="T14:T15"/>
    <mergeCell ref="AD14:AD15"/>
    <mergeCell ref="AE14:AE15"/>
    <mergeCell ref="AH14:AH15"/>
    <mergeCell ref="AN14:AN15"/>
    <mergeCell ref="AE16:AE17"/>
    <mergeCell ref="AH16:AH17"/>
    <mergeCell ref="AN16:AN17"/>
    <mergeCell ref="B18:B19"/>
    <mergeCell ref="J18:J19"/>
    <mergeCell ref="K18:K19"/>
    <mergeCell ref="N18:N19"/>
    <mergeCell ref="T18:T19"/>
    <mergeCell ref="AD18:AD19"/>
    <mergeCell ref="AE18:AE19"/>
    <mergeCell ref="B16:B17"/>
    <mergeCell ref="J16:J17"/>
    <mergeCell ref="K16:K17"/>
    <mergeCell ref="N16:N17"/>
    <mergeCell ref="T16:T17"/>
    <mergeCell ref="AD16:AD17"/>
    <mergeCell ref="AH18:AH19"/>
    <mergeCell ref="AN18:AN19"/>
    <mergeCell ref="B20:B21"/>
    <mergeCell ref="J20:J21"/>
    <mergeCell ref="K20:K21"/>
    <mergeCell ref="N20:N21"/>
    <mergeCell ref="T20:T21"/>
    <mergeCell ref="AD20:AD21"/>
    <mergeCell ref="AE20:AE21"/>
    <mergeCell ref="AH20:AH21"/>
    <mergeCell ref="AN20:AN21"/>
    <mergeCell ref="B22:B23"/>
    <mergeCell ref="J22:J23"/>
    <mergeCell ref="K22:K23"/>
    <mergeCell ref="N22:N23"/>
    <mergeCell ref="T22:T23"/>
    <mergeCell ref="AD22:AD23"/>
    <mergeCell ref="AE22:AE23"/>
    <mergeCell ref="AH22:AH23"/>
    <mergeCell ref="AN22:AN23"/>
    <mergeCell ref="AE24:AE25"/>
    <mergeCell ref="AH24:AH25"/>
    <mergeCell ref="AN24:AN25"/>
    <mergeCell ref="B26:B27"/>
    <mergeCell ref="J26:J27"/>
    <mergeCell ref="K26:K27"/>
    <mergeCell ref="N26:N27"/>
    <mergeCell ref="T26:T27"/>
    <mergeCell ref="AD26:AD27"/>
    <mergeCell ref="AE26:AE27"/>
    <mergeCell ref="B24:B25"/>
    <mergeCell ref="J24:J25"/>
    <mergeCell ref="K24:K25"/>
    <mergeCell ref="N24:N25"/>
    <mergeCell ref="T24:T25"/>
    <mergeCell ref="AD24:AD25"/>
    <mergeCell ref="AH26:AH27"/>
    <mergeCell ref="AN26:AN27"/>
    <mergeCell ref="B28:B29"/>
    <mergeCell ref="J28:J29"/>
    <mergeCell ref="K28:K29"/>
    <mergeCell ref="N28:N29"/>
    <mergeCell ref="T28:T29"/>
    <mergeCell ref="AD28:AD29"/>
    <mergeCell ref="AE28:AE29"/>
    <mergeCell ref="AH28:AH29"/>
    <mergeCell ref="AN28:AN29"/>
    <mergeCell ref="B30:B31"/>
    <mergeCell ref="J30:J31"/>
    <mergeCell ref="K30:K31"/>
    <mergeCell ref="N30:N31"/>
    <mergeCell ref="T30:T31"/>
    <mergeCell ref="AD30:AD31"/>
    <mergeCell ref="AE30:AE31"/>
    <mergeCell ref="AH30:AH31"/>
    <mergeCell ref="AN30:AN31"/>
    <mergeCell ref="AE32:AE33"/>
    <mergeCell ref="AH32:AH33"/>
    <mergeCell ref="AN32:AN33"/>
    <mergeCell ref="B34:B35"/>
    <mergeCell ref="J34:J35"/>
    <mergeCell ref="K34:K35"/>
    <mergeCell ref="N34:N35"/>
    <mergeCell ref="T34:T35"/>
    <mergeCell ref="AD34:AD35"/>
    <mergeCell ref="AE34:AE35"/>
    <mergeCell ref="B32:B33"/>
    <mergeCell ref="J32:J33"/>
    <mergeCell ref="K32:K33"/>
    <mergeCell ref="N32:N33"/>
    <mergeCell ref="T32:T33"/>
    <mergeCell ref="AD32:AD33"/>
    <mergeCell ref="AH34:AH35"/>
    <mergeCell ref="AN34:AN35"/>
    <mergeCell ref="B36:B37"/>
    <mergeCell ref="J36:J37"/>
    <mergeCell ref="K36:K37"/>
    <mergeCell ref="N36:N37"/>
    <mergeCell ref="T36:T37"/>
    <mergeCell ref="AD36:AD37"/>
    <mergeCell ref="AE36:AE37"/>
    <mergeCell ref="AH36:AH37"/>
    <mergeCell ref="AN36:AN37"/>
    <mergeCell ref="B38:B39"/>
    <mergeCell ref="J38:J39"/>
    <mergeCell ref="K38:K39"/>
    <mergeCell ref="N38:N39"/>
    <mergeCell ref="T38:T39"/>
    <mergeCell ref="AD38:AD39"/>
    <mergeCell ref="AE38:AE39"/>
    <mergeCell ref="AH38:AH39"/>
    <mergeCell ref="AN38:AN39"/>
    <mergeCell ref="AE40:AE41"/>
    <mergeCell ref="AH40:AH41"/>
    <mergeCell ref="AN40:AN41"/>
    <mergeCell ref="B42:B43"/>
    <mergeCell ref="J42:J43"/>
    <mergeCell ref="K42:K43"/>
    <mergeCell ref="N42:N43"/>
    <mergeCell ref="T42:T43"/>
    <mergeCell ref="AD42:AD43"/>
    <mergeCell ref="AE42:AE43"/>
    <mergeCell ref="B40:B41"/>
    <mergeCell ref="J40:J41"/>
    <mergeCell ref="K40:K41"/>
    <mergeCell ref="N40:N41"/>
    <mergeCell ref="T40:T41"/>
    <mergeCell ref="AD40:AD41"/>
    <mergeCell ref="AH47:AH48"/>
    <mergeCell ref="AJ47:AJ48"/>
    <mergeCell ref="AN47:AN48"/>
    <mergeCell ref="AH42:AH43"/>
    <mergeCell ref="AN42:AN43"/>
    <mergeCell ref="B47:B48"/>
    <mergeCell ref="J47:J48"/>
    <mergeCell ref="L47:L48"/>
    <mergeCell ref="N47:N48"/>
    <mergeCell ref="P47:P48"/>
    <mergeCell ref="T47:T48"/>
    <mergeCell ref="AD47:AD48"/>
    <mergeCell ref="AF47:AF48"/>
  </mergeCells>
  <phoneticPr fontId="3"/>
  <hyperlinks>
    <hyperlink ref="A1" location="menu!A1" display="menu" xr:uid="{00000000-0004-0000-1900-000000000000}"/>
  </hyperlinks>
  <printOptions horizontalCentered="1"/>
  <pageMargins left="0.78740157480314965" right="0.19685039370078741" top="0.74803149606299213" bottom="0.74803149606299213" header="0.31496062992125984" footer="0.31496062992125984"/>
  <pageSetup paperSize="9" scale="76" orientation="portrait" r:id="rId1"/>
  <colBreaks count="4" manualBreakCount="4">
    <brk id="9" min="1" max="51" man="1"/>
    <brk id="18" max="1048575" man="1"/>
    <brk id="28" max="1048575" man="1"/>
    <brk id="3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K49"/>
  <sheetViews>
    <sheetView showGridLines="0" showZeros="0" view="pageBreakPreview" topLeftCell="AT1" zoomScale="85" zoomScaleNormal="100" zoomScaleSheetLayoutView="85" workbookViewId="0">
      <selection activeCell="AN14" sqref="AN14"/>
    </sheetView>
  </sheetViews>
  <sheetFormatPr defaultRowHeight="18.75"/>
  <cols>
    <col min="2" max="2" width="20.625" customWidth="1"/>
    <col min="3" max="3" width="23.625" customWidth="1"/>
    <col min="4" max="4" width="5.625" customWidth="1"/>
    <col min="5" max="6" width="10.625" customWidth="1"/>
    <col min="7" max="7" width="29.625" customWidth="1"/>
    <col min="8" max="8" width="2.625" customWidth="1"/>
    <col min="9" max="9" width="20.625" customWidth="1"/>
    <col min="10" max="10" width="23.625" customWidth="1"/>
    <col min="11" max="11" width="5.625" customWidth="1"/>
    <col min="12" max="13" width="10.625" customWidth="1"/>
    <col min="14" max="14" width="29.625" customWidth="1"/>
    <col min="15" max="15" width="2.625" customWidth="1"/>
    <col min="16" max="16" width="20.625" customWidth="1"/>
    <col min="17" max="17" width="23.625" customWidth="1"/>
    <col min="18" max="18" width="5.625" customWidth="1"/>
    <col min="19" max="20" width="10.625" customWidth="1"/>
    <col min="21" max="21" width="29.625" customWidth="1"/>
    <col min="22" max="22" width="2.625" customWidth="1"/>
    <col min="23" max="23" width="20.625" customWidth="1"/>
    <col min="24" max="24" width="23.625" customWidth="1"/>
    <col min="25" max="25" width="5.625" customWidth="1"/>
    <col min="26" max="27" width="10.625" customWidth="1"/>
    <col min="28" max="28" width="29.625" customWidth="1"/>
    <col min="29" max="29" width="2.625" customWidth="1"/>
    <col min="30" max="31" width="20.625" customWidth="1"/>
    <col min="32" max="32" width="5.625" customWidth="1"/>
    <col min="33" max="33" width="10.625" customWidth="1"/>
    <col min="34" max="34" width="26.625" customWidth="1"/>
    <col min="35" max="35" width="15.625" customWidth="1"/>
    <col min="36" max="36" width="2.625" customWidth="1"/>
    <col min="37" max="38" width="20.625" customWidth="1"/>
    <col min="39" max="39" width="5.625" customWidth="1"/>
    <col min="40" max="40" width="10.625" customWidth="1"/>
    <col min="41" max="41" width="26.625" customWidth="1"/>
    <col min="42" max="42" width="15.625" customWidth="1"/>
    <col min="43" max="43" width="2.625" customWidth="1"/>
    <col min="44" max="45" width="20.625" customWidth="1"/>
    <col min="46" max="46" width="5.625" customWidth="1"/>
    <col min="47" max="47" width="10.625" customWidth="1"/>
    <col min="48" max="48" width="26.625" customWidth="1"/>
    <col min="49" max="49" width="15.625" customWidth="1"/>
    <col min="50" max="50" width="2.625" customWidth="1"/>
    <col min="51" max="52" width="20.625" customWidth="1"/>
    <col min="53" max="53" width="5.625" customWidth="1"/>
    <col min="54" max="54" width="10.625" customWidth="1"/>
    <col min="55" max="55" width="26.625" customWidth="1"/>
    <col min="56" max="56" width="15.625" customWidth="1"/>
    <col min="57" max="57" width="2.625" customWidth="1"/>
    <col min="58" max="59" width="20.625" customWidth="1"/>
    <col min="60" max="60" width="5.625" customWidth="1"/>
    <col min="61" max="61" width="10.625" customWidth="1"/>
    <col min="62" max="62" width="26.625" customWidth="1"/>
    <col min="63" max="63" width="15.625" customWidth="1"/>
  </cols>
  <sheetData>
    <row r="1" spans="1:63">
      <c r="A1" s="298" t="s">
        <v>476</v>
      </c>
    </row>
    <row r="2" spans="1:63" ht="18.75" customHeight="1">
      <c r="B2" s="674" t="s">
        <v>89</v>
      </c>
      <c r="C2" s="675"/>
      <c r="D2" s="90"/>
      <c r="E2" s="675" t="s">
        <v>90</v>
      </c>
      <c r="F2" s="675"/>
      <c r="G2" s="680" t="s">
        <v>9</v>
      </c>
      <c r="I2" s="674" t="s">
        <v>89</v>
      </c>
      <c r="J2" s="675"/>
      <c r="K2" s="90"/>
      <c r="L2" s="675" t="s">
        <v>93</v>
      </c>
      <c r="M2" s="675"/>
      <c r="N2" s="680" t="s">
        <v>9</v>
      </c>
      <c r="P2" s="674" t="s">
        <v>89</v>
      </c>
      <c r="Q2" s="675"/>
      <c r="R2" s="90"/>
      <c r="S2" s="718" t="s">
        <v>763</v>
      </c>
      <c r="T2" s="675"/>
      <c r="U2" s="680" t="s">
        <v>9</v>
      </c>
      <c r="W2" s="674" t="s">
        <v>89</v>
      </c>
      <c r="X2" s="675"/>
      <c r="Y2" s="90"/>
      <c r="Z2" s="718" t="s">
        <v>767</v>
      </c>
      <c r="AA2" s="675"/>
      <c r="AB2" s="680" t="s">
        <v>9</v>
      </c>
      <c r="AD2" s="674" t="s">
        <v>89</v>
      </c>
      <c r="AE2" s="675"/>
      <c r="AF2" s="90"/>
      <c r="AG2" s="675" t="s">
        <v>102</v>
      </c>
      <c r="AH2" s="675"/>
      <c r="AI2" s="680" t="s">
        <v>9</v>
      </c>
      <c r="AK2" s="674" t="s">
        <v>89</v>
      </c>
      <c r="AL2" s="675"/>
      <c r="AM2" s="90"/>
      <c r="AN2" s="675" t="s">
        <v>103</v>
      </c>
      <c r="AO2" s="675"/>
      <c r="AP2" s="680" t="s">
        <v>9</v>
      </c>
      <c r="AR2" s="674" t="s">
        <v>96</v>
      </c>
      <c r="AS2" s="675"/>
      <c r="AT2" s="90"/>
      <c r="AU2" s="675" t="s">
        <v>106</v>
      </c>
      <c r="AV2" s="675"/>
      <c r="AW2" s="680" t="s">
        <v>9</v>
      </c>
      <c r="AY2" s="674" t="s">
        <v>89</v>
      </c>
      <c r="AZ2" s="675"/>
      <c r="BA2" s="90"/>
      <c r="BB2" s="675" t="s">
        <v>832</v>
      </c>
      <c r="BC2" s="675"/>
      <c r="BD2" s="680" t="s">
        <v>9</v>
      </c>
      <c r="BF2" s="674" t="s">
        <v>89</v>
      </c>
      <c r="BG2" s="675"/>
      <c r="BH2" s="90"/>
      <c r="BI2" s="675" t="s">
        <v>833</v>
      </c>
      <c r="BJ2" s="675"/>
      <c r="BK2" s="680" t="s">
        <v>445</v>
      </c>
    </row>
    <row r="3" spans="1:63" ht="18.75" customHeight="1">
      <c r="B3" s="676"/>
      <c r="C3" s="677"/>
      <c r="D3" s="91"/>
      <c r="E3" s="677"/>
      <c r="F3" s="677"/>
      <c r="G3" s="681"/>
      <c r="I3" s="676"/>
      <c r="J3" s="677"/>
      <c r="K3" s="91"/>
      <c r="L3" s="677"/>
      <c r="M3" s="677"/>
      <c r="N3" s="681"/>
      <c r="P3" s="676"/>
      <c r="Q3" s="677"/>
      <c r="R3" s="91"/>
      <c r="S3" s="677"/>
      <c r="T3" s="677"/>
      <c r="U3" s="681"/>
      <c r="W3" s="676"/>
      <c r="X3" s="677"/>
      <c r="Y3" s="91"/>
      <c r="Z3" s="677"/>
      <c r="AA3" s="677"/>
      <c r="AB3" s="681"/>
      <c r="AD3" s="676"/>
      <c r="AE3" s="677"/>
      <c r="AF3" s="91"/>
      <c r="AG3" s="677"/>
      <c r="AH3" s="677"/>
      <c r="AI3" s="681"/>
      <c r="AK3" s="676"/>
      <c r="AL3" s="677"/>
      <c r="AM3" s="91"/>
      <c r="AN3" s="677"/>
      <c r="AO3" s="677"/>
      <c r="AP3" s="681"/>
      <c r="AR3" s="676"/>
      <c r="AS3" s="677"/>
      <c r="AT3" s="91"/>
      <c r="AU3" s="677"/>
      <c r="AV3" s="677"/>
      <c r="AW3" s="681"/>
      <c r="AY3" s="676"/>
      <c r="AZ3" s="677"/>
      <c r="BA3" s="91"/>
      <c r="BB3" s="677"/>
      <c r="BC3" s="677"/>
      <c r="BD3" s="681"/>
      <c r="BF3" s="676"/>
      <c r="BG3" s="677"/>
      <c r="BH3" s="91"/>
      <c r="BI3" s="677"/>
      <c r="BJ3" s="677"/>
      <c r="BK3" s="681"/>
    </row>
    <row r="4" spans="1:63" ht="19.5" thickBot="1">
      <c r="B4" s="24" t="s">
        <v>5</v>
      </c>
      <c r="C4" s="25" t="s">
        <v>1</v>
      </c>
      <c r="D4" s="25" t="s">
        <v>3</v>
      </c>
      <c r="E4" s="25" t="s">
        <v>91</v>
      </c>
      <c r="F4" s="25" t="s">
        <v>92</v>
      </c>
      <c r="G4" s="25" t="s">
        <v>8</v>
      </c>
      <c r="I4" s="24" t="s">
        <v>5</v>
      </c>
      <c r="J4" s="25" t="s">
        <v>1</v>
      </c>
      <c r="K4" s="25" t="s">
        <v>3</v>
      </c>
      <c r="L4" s="25" t="s">
        <v>91</v>
      </c>
      <c r="M4" s="25" t="s">
        <v>92</v>
      </c>
      <c r="N4" s="25" t="s">
        <v>8</v>
      </c>
      <c r="P4" s="24" t="s">
        <v>5</v>
      </c>
      <c r="Q4" s="25" t="s">
        <v>1</v>
      </c>
      <c r="R4" s="25" t="s">
        <v>3</v>
      </c>
      <c r="S4" s="25" t="s">
        <v>91</v>
      </c>
      <c r="T4" s="25" t="s">
        <v>92</v>
      </c>
      <c r="U4" s="25" t="s">
        <v>8</v>
      </c>
      <c r="W4" s="24" t="s">
        <v>5</v>
      </c>
      <c r="X4" s="25" t="s">
        <v>1</v>
      </c>
      <c r="Y4" s="25" t="s">
        <v>3</v>
      </c>
      <c r="Z4" s="25" t="s">
        <v>91</v>
      </c>
      <c r="AA4" s="25" t="s">
        <v>92</v>
      </c>
      <c r="AB4" s="25" t="s">
        <v>8</v>
      </c>
      <c r="AD4" s="24" t="s">
        <v>5</v>
      </c>
      <c r="AE4" s="25" t="s">
        <v>1</v>
      </c>
      <c r="AF4" s="25" t="s">
        <v>3</v>
      </c>
      <c r="AG4" s="25" t="s">
        <v>4</v>
      </c>
      <c r="AH4" s="25" t="s">
        <v>97</v>
      </c>
      <c r="AI4" s="25" t="s">
        <v>8</v>
      </c>
      <c r="AK4" s="24" t="s">
        <v>5</v>
      </c>
      <c r="AL4" s="25" t="s">
        <v>1</v>
      </c>
      <c r="AM4" s="25" t="s">
        <v>3</v>
      </c>
      <c r="AN4" s="25" t="s">
        <v>4</v>
      </c>
      <c r="AO4" s="25" t="s">
        <v>97</v>
      </c>
      <c r="AP4" s="25" t="s">
        <v>8</v>
      </c>
      <c r="AR4" s="24" t="s">
        <v>5</v>
      </c>
      <c r="AS4" s="25" t="s">
        <v>1</v>
      </c>
      <c r="AT4" s="25" t="s">
        <v>3</v>
      </c>
      <c r="AU4" s="25" t="s">
        <v>4</v>
      </c>
      <c r="AV4" s="25" t="s">
        <v>97</v>
      </c>
      <c r="AW4" s="25" t="s">
        <v>8</v>
      </c>
      <c r="AY4" s="24" t="s">
        <v>5</v>
      </c>
      <c r="AZ4" s="25" t="s">
        <v>1</v>
      </c>
      <c r="BA4" s="25" t="s">
        <v>3</v>
      </c>
      <c r="BB4" s="25" t="s">
        <v>4</v>
      </c>
      <c r="BC4" s="25" t="s">
        <v>97</v>
      </c>
      <c r="BD4" s="25" t="s">
        <v>8</v>
      </c>
      <c r="BF4" s="24" t="s">
        <v>5</v>
      </c>
      <c r="BG4" s="25" t="s">
        <v>1</v>
      </c>
      <c r="BH4" s="25" t="s">
        <v>3</v>
      </c>
      <c r="BI4" s="25" t="s">
        <v>4</v>
      </c>
      <c r="BJ4" s="25" t="s">
        <v>97</v>
      </c>
      <c r="BK4" s="25" t="s">
        <v>8</v>
      </c>
    </row>
    <row r="5" spans="1:63" ht="19.5" customHeight="1" thickTop="1">
      <c r="B5" s="682"/>
      <c r="C5" s="687"/>
      <c r="D5" s="30"/>
      <c r="E5" s="37"/>
      <c r="F5" s="37"/>
      <c r="G5" s="43"/>
      <c r="I5" s="667" t="s">
        <v>887</v>
      </c>
      <c r="J5" s="668" t="s">
        <v>889</v>
      </c>
      <c r="K5" s="32" t="s">
        <v>22</v>
      </c>
      <c r="L5" s="39"/>
      <c r="M5" s="37"/>
      <c r="N5" s="45" t="s">
        <v>888</v>
      </c>
      <c r="P5" s="667" t="s">
        <v>764</v>
      </c>
      <c r="Q5" s="668" t="s">
        <v>766</v>
      </c>
      <c r="R5" s="32" t="s">
        <v>20</v>
      </c>
      <c r="S5" s="39">
        <v>1</v>
      </c>
      <c r="T5" s="37">
        <f>S5</f>
        <v>1</v>
      </c>
      <c r="U5" s="43"/>
      <c r="W5" s="682" t="s">
        <v>768</v>
      </c>
      <c r="X5" s="683" t="s">
        <v>769</v>
      </c>
      <c r="Y5" s="30" t="s">
        <v>770</v>
      </c>
      <c r="Z5" s="37">
        <v>0.33</v>
      </c>
      <c r="AA5" s="37"/>
      <c r="AB5" s="43" t="s">
        <v>771</v>
      </c>
      <c r="AD5" s="682" t="s">
        <v>98</v>
      </c>
      <c r="AE5" s="683" t="s">
        <v>99</v>
      </c>
      <c r="AF5" s="30" t="s">
        <v>41</v>
      </c>
      <c r="AG5" s="37"/>
      <c r="AH5" s="101" t="s">
        <v>100</v>
      </c>
      <c r="AI5" s="43" t="s">
        <v>101</v>
      </c>
      <c r="AK5" s="682" t="s">
        <v>104</v>
      </c>
      <c r="AL5" s="683" t="s">
        <v>838</v>
      </c>
      <c r="AM5" s="30" t="s">
        <v>35</v>
      </c>
      <c r="AN5" s="37"/>
      <c r="AO5" s="101" t="s">
        <v>105</v>
      </c>
      <c r="AP5" s="43"/>
      <c r="AR5" s="682" t="s">
        <v>37</v>
      </c>
      <c r="AS5" s="683" t="s">
        <v>38</v>
      </c>
      <c r="AT5" s="30" t="s">
        <v>40</v>
      </c>
      <c r="AU5" s="37">
        <v>25.62</v>
      </c>
      <c r="AV5" s="101" t="s">
        <v>110</v>
      </c>
      <c r="AW5" s="43"/>
      <c r="AY5" s="682" t="s">
        <v>647</v>
      </c>
      <c r="AZ5" s="683" t="s">
        <v>280</v>
      </c>
      <c r="BA5" s="30" t="s">
        <v>41</v>
      </c>
      <c r="BB5" s="37"/>
      <c r="BC5" s="173" t="s">
        <v>855</v>
      </c>
      <c r="BD5" s="162"/>
      <c r="BF5" s="667" t="s">
        <v>288</v>
      </c>
      <c r="BG5" s="668" t="s">
        <v>359</v>
      </c>
      <c r="BH5" s="32" t="s">
        <v>17</v>
      </c>
      <c r="BI5" s="39"/>
      <c r="BJ5" s="173" t="s">
        <v>847</v>
      </c>
      <c r="BK5" s="164"/>
    </row>
    <row r="6" spans="1:63" ht="18.75" customHeight="1">
      <c r="B6" s="662"/>
      <c r="C6" s="670"/>
      <c r="D6" s="31"/>
      <c r="E6" s="38"/>
      <c r="F6" s="92"/>
      <c r="G6" s="44"/>
      <c r="I6" s="662"/>
      <c r="J6" s="664"/>
      <c r="K6" s="31"/>
      <c r="L6" s="38"/>
      <c r="M6" s="92"/>
      <c r="N6" s="44"/>
      <c r="P6" s="662"/>
      <c r="Q6" s="664"/>
      <c r="R6" s="31"/>
      <c r="S6" s="38"/>
      <c r="T6" s="92"/>
      <c r="U6" s="44"/>
      <c r="W6" s="662"/>
      <c r="X6" s="664"/>
      <c r="Y6" s="31"/>
      <c r="Z6" s="38"/>
      <c r="AA6" s="92"/>
      <c r="AB6" s="44"/>
      <c r="AD6" s="662"/>
      <c r="AE6" s="664"/>
      <c r="AF6" s="31"/>
      <c r="AG6" s="38"/>
      <c r="AH6" s="102"/>
      <c r="AI6" s="44"/>
      <c r="AK6" s="662"/>
      <c r="AL6" s="664"/>
      <c r="AM6" s="31"/>
      <c r="AN6" s="38"/>
      <c r="AO6" s="102"/>
      <c r="AP6" s="44"/>
      <c r="AR6" s="662"/>
      <c r="AS6" s="664"/>
      <c r="AT6" s="31"/>
      <c r="AU6" s="38"/>
      <c r="AV6" s="102"/>
      <c r="AW6" s="44"/>
      <c r="AY6" s="662"/>
      <c r="AZ6" s="664"/>
      <c r="BA6" s="31"/>
      <c r="BB6" s="38"/>
      <c r="BC6" s="174"/>
      <c r="BD6" s="163"/>
      <c r="BF6" s="662"/>
      <c r="BG6" s="664"/>
      <c r="BH6" s="31"/>
      <c r="BI6" s="38"/>
      <c r="BJ6" s="174"/>
      <c r="BK6" s="163"/>
    </row>
    <row r="7" spans="1:63" ht="18.75" customHeight="1">
      <c r="B7" s="661"/>
      <c r="C7" s="668"/>
      <c r="D7" s="32"/>
      <c r="E7" s="39"/>
      <c r="F7" s="37"/>
      <c r="G7" s="45"/>
      <c r="I7" s="661" t="s">
        <v>94</v>
      </c>
      <c r="J7" s="668" t="s">
        <v>579</v>
      </c>
      <c r="K7" s="32" t="s">
        <v>20</v>
      </c>
      <c r="L7" s="39"/>
      <c r="M7" s="37"/>
      <c r="N7" s="45" t="s">
        <v>756</v>
      </c>
      <c r="P7" s="667" t="s">
        <v>765</v>
      </c>
      <c r="Q7" s="668" t="s">
        <v>766</v>
      </c>
      <c r="R7" s="32" t="s">
        <v>20</v>
      </c>
      <c r="S7" s="39">
        <v>1</v>
      </c>
      <c r="T7" s="37">
        <f>S7</f>
        <v>1</v>
      </c>
      <c r="U7" s="45"/>
      <c r="W7" s="661"/>
      <c r="X7" s="668"/>
      <c r="Y7" s="32"/>
      <c r="Z7" s="39"/>
      <c r="AA7" s="37"/>
      <c r="AB7" s="45"/>
      <c r="AD7" s="661"/>
      <c r="AE7" s="668"/>
      <c r="AF7" s="32"/>
      <c r="AG7" s="39"/>
      <c r="AH7" s="101"/>
      <c r="AI7" s="45"/>
      <c r="AK7" s="661"/>
      <c r="AL7" s="668"/>
      <c r="AM7" s="32"/>
      <c r="AN7" s="39"/>
      <c r="AO7" s="101"/>
      <c r="AP7" s="45"/>
      <c r="AR7" s="661" t="s">
        <v>107</v>
      </c>
      <c r="AS7" s="668" t="s">
        <v>108</v>
      </c>
      <c r="AT7" s="32" t="s">
        <v>41</v>
      </c>
      <c r="AU7" s="39"/>
      <c r="AV7" s="101"/>
      <c r="AW7" s="45" t="s">
        <v>109</v>
      </c>
      <c r="AY7" s="661"/>
      <c r="AZ7" s="668"/>
      <c r="BA7" s="30"/>
      <c r="BB7" s="37"/>
      <c r="BC7" s="173"/>
      <c r="BD7" s="162"/>
      <c r="BF7" s="661"/>
      <c r="BG7" s="668"/>
      <c r="BH7" s="32"/>
      <c r="BI7" s="38"/>
      <c r="BJ7" s="174"/>
      <c r="BK7" s="163"/>
    </row>
    <row r="8" spans="1:63">
      <c r="B8" s="662"/>
      <c r="C8" s="664"/>
      <c r="D8" s="31"/>
      <c r="E8" s="38"/>
      <c r="F8" s="92"/>
      <c r="G8" s="44"/>
      <c r="I8" s="662"/>
      <c r="J8" s="664"/>
      <c r="K8" s="31"/>
      <c r="L8" s="38"/>
      <c r="M8" s="92"/>
      <c r="N8" s="44"/>
      <c r="P8" s="662"/>
      <c r="Q8" s="664"/>
      <c r="R8" s="31"/>
      <c r="S8" s="38"/>
      <c r="T8" s="92"/>
      <c r="U8" s="44"/>
      <c r="W8" s="662"/>
      <c r="X8" s="664"/>
      <c r="Y8" s="31"/>
      <c r="Z8" s="38"/>
      <c r="AA8" s="92"/>
      <c r="AB8" s="44"/>
      <c r="AD8" s="662"/>
      <c r="AE8" s="664"/>
      <c r="AF8" s="31"/>
      <c r="AG8" s="38"/>
      <c r="AH8" s="102"/>
      <c r="AI8" s="44"/>
      <c r="AK8" s="662"/>
      <c r="AL8" s="664"/>
      <c r="AM8" s="31"/>
      <c r="AN8" s="38"/>
      <c r="AO8" s="102"/>
      <c r="AP8" s="44"/>
      <c r="AR8" s="662"/>
      <c r="AS8" s="664"/>
      <c r="AT8" s="31"/>
      <c r="AU8" s="38"/>
      <c r="AV8" s="102"/>
      <c r="AW8" s="44"/>
      <c r="AY8" s="662"/>
      <c r="AZ8" s="670"/>
      <c r="BA8" s="31"/>
      <c r="BB8" s="38"/>
      <c r="BC8" s="174"/>
      <c r="BD8" s="163"/>
      <c r="BF8" s="662"/>
      <c r="BG8" s="664"/>
      <c r="BH8" s="31"/>
      <c r="BI8" s="38"/>
      <c r="BJ8" s="102"/>
      <c r="BK8" s="163"/>
    </row>
    <row r="9" spans="1:63" ht="18.75" customHeight="1">
      <c r="B9" s="661"/>
      <c r="C9" s="668"/>
      <c r="D9" s="32"/>
      <c r="E9" s="39"/>
      <c r="F9" s="37"/>
      <c r="G9" s="45"/>
      <c r="I9" s="667" t="s">
        <v>758</v>
      </c>
      <c r="J9" s="668" t="s">
        <v>759</v>
      </c>
      <c r="K9" s="32" t="s">
        <v>22</v>
      </c>
      <c r="L9" s="39"/>
      <c r="M9" s="37"/>
      <c r="N9" s="45" t="s">
        <v>757</v>
      </c>
      <c r="P9" s="667"/>
      <c r="Q9" s="668"/>
      <c r="R9" s="32"/>
      <c r="S9" s="39"/>
      <c r="T9" s="37"/>
      <c r="U9" s="45"/>
      <c r="W9" s="661"/>
      <c r="X9" s="668"/>
      <c r="Y9" s="32"/>
      <c r="Z9" s="39"/>
      <c r="AA9" s="37"/>
      <c r="AB9" s="45"/>
      <c r="AD9" s="661"/>
      <c r="AE9" s="668"/>
      <c r="AF9" s="32"/>
      <c r="AG9" s="39"/>
      <c r="AH9" s="101"/>
      <c r="AI9" s="45"/>
      <c r="AK9" s="661"/>
      <c r="AL9" s="668"/>
      <c r="AM9" s="32"/>
      <c r="AN9" s="39"/>
      <c r="AO9" s="101"/>
      <c r="AP9" s="45"/>
      <c r="AR9" s="661"/>
      <c r="AS9" s="668"/>
      <c r="AT9" s="32"/>
      <c r="AU9" s="39"/>
      <c r="AV9" s="101"/>
      <c r="AW9" s="45"/>
      <c r="AY9" s="661"/>
      <c r="AZ9" s="663" t="s">
        <v>625</v>
      </c>
      <c r="BA9" s="32" t="s">
        <v>41</v>
      </c>
      <c r="BB9" s="39"/>
      <c r="BC9" s="173"/>
      <c r="BD9" s="164"/>
      <c r="BF9" s="661"/>
      <c r="BG9" s="663" t="s">
        <v>625</v>
      </c>
      <c r="BH9" s="32" t="s">
        <v>17</v>
      </c>
      <c r="BI9" s="39"/>
      <c r="BJ9" s="101"/>
      <c r="BK9" s="164"/>
    </row>
    <row r="10" spans="1:63">
      <c r="B10" s="662"/>
      <c r="C10" s="664"/>
      <c r="D10" s="31"/>
      <c r="E10" s="38"/>
      <c r="F10" s="92"/>
      <c r="G10" s="44"/>
      <c r="I10" s="662"/>
      <c r="J10" s="664"/>
      <c r="K10" s="31"/>
      <c r="L10" s="38"/>
      <c r="M10" s="92"/>
      <c r="N10" s="44"/>
      <c r="P10" s="662"/>
      <c r="Q10" s="664"/>
      <c r="R10" s="31"/>
      <c r="S10" s="38"/>
      <c r="T10" s="92"/>
      <c r="U10" s="44"/>
      <c r="W10" s="662"/>
      <c r="X10" s="664"/>
      <c r="Y10" s="31"/>
      <c r="Z10" s="38"/>
      <c r="AA10" s="92"/>
      <c r="AB10" s="44"/>
      <c r="AD10" s="662"/>
      <c r="AE10" s="664"/>
      <c r="AF10" s="31"/>
      <c r="AG10" s="38"/>
      <c r="AH10" s="102"/>
      <c r="AI10" s="44"/>
      <c r="AK10" s="662"/>
      <c r="AL10" s="664"/>
      <c r="AM10" s="31"/>
      <c r="AN10" s="38"/>
      <c r="AO10" s="102"/>
      <c r="AP10" s="44"/>
      <c r="AR10" s="662"/>
      <c r="AS10" s="664"/>
      <c r="AT10" s="31"/>
      <c r="AU10" s="38"/>
      <c r="AV10" s="102"/>
      <c r="AW10" s="44"/>
      <c r="AY10" s="662"/>
      <c r="AZ10" s="664"/>
      <c r="BA10" s="31"/>
      <c r="BB10" s="38"/>
      <c r="BC10" s="174"/>
      <c r="BD10" s="163"/>
      <c r="BF10" s="662"/>
      <c r="BG10" s="664"/>
      <c r="BH10" s="31"/>
      <c r="BI10" s="38"/>
      <c r="BJ10" s="102"/>
      <c r="BK10" s="163"/>
    </row>
    <row r="11" spans="1:63" ht="18.75" customHeight="1">
      <c r="B11" s="667"/>
      <c r="C11" s="668"/>
      <c r="D11" s="32"/>
      <c r="E11" s="39"/>
      <c r="F11" s="37"/>
      <c r="G11" s="45"/>
      <c r="I11" s="667"/>
      <c r="J11" s="668"/>
      <c r="K11" s="32"/>
      <c r="L11" s="39"/>
      <c r="M11" s="37"/>
      <c r="N11" s="45"/>
      <c r="P11" s="667"/>
      <c r="Q11" s="668"/>
      <c r="R11" s="32"/>
      <c r="S11" s="39"/>
      <c r="T11" s="37"/>
      <c r="U11" s="45"/>
      <c r="W11" s="667"/>
      <c r="X11" s="668"/>
      <c r="Y11" s="32"/>
      <c r="Z11" s="39"/>
      <c r="AA11" s="37"/>
      <c r="AB11" s="45"/>
      <c r="AD11" s="667"/>
      <c r="AE11" s="668"/>
      <c r="AF11" s="32"/>
      <c r="AG11" s="39"/>
      <c r="AH11" s="101"/>
      <c r="AI11" s="45"/>
      <c r="AK11" s="667"/>
      <c r="AL11" s="668"/>
      <c r="AM11" s="32"/>
      <c r="AN11" s="39"/>
      <c r="AO11" s="101"/>
      <c r="AP11" s="45"/>
      <c r="AR11" s="667"/>
      <c r="AS11" s="668"/>
      <c r="AT11" s="32"/>
      <c r="AU11" s="39"/>
      <c r="AV11" s="101"/>
      <c r="AW11" s="45"/>
      <c r="AY11" s="661" t="s">
        <v>626</v>
      </c>
      <c r="AZ11" s="668" t="s">
        <v>282</v>
      </c>
      <c r="BA11" s="32" t="s">
        <v>41</v>
      </c>
      <c r="BB11" s="39"/>
      <c r="BC11" s="173" t="s">
        <v>840</v>
      </c>
      <c r="BD11" s="164"/>
      <c r="BF11" s="661" t="s">
        <v>351</v>
      </c>
      <c r="BG11" s="668" t="s">
        <v>360</v>
      </c>
      <c r="BH11" s="32" t="s">
        <v>40</v>
      </c>
      <c r="BI11" s="39"/>
      <c r="BJ11" s="173" t="s">
        <v>846</v>
      </c>
      <c r="BK11" s="164"/>
    </row>
    <row r="12" spans="1:63">
      <c r="B12" s="662"/>
      <c r="C12" s="664"/>
      <c r="D12" s="31"/>
      <c r="E12" s="38"/>
      <c r="F12" s="92"/>
      <c r="G12" s="44"/>
      <c r="I12" s="662"/>
      <c r="J12" s="664"/>
      <c r="K12" s="31"/>
      <c r="L12" s="38"/>
      <c r="M12" s="92"/>
      <c r="N12" s="44"/>
      <c r="P12" s="662"/>
      <c r="Q12" s="664"/>
      <c r="R12" s="31"/>
      <c r="S12" s="38"/>
      <c r="T12" s="92"/>
      <c r="U12" s="44"/>
      <c r="W12" s="662"/>
      <c r="X12" s="664"/>
      <c r="Y12" s="31"/>
      <c r="Z12" s="38"/>
      <c r="AA12" s="92"/>
      <c r="AB12" s="44"/>
      <c r="AD12" s="662"/>
      <c r="AE12" s="664"/>
      <c r="AF12" s="31"/>
      <c r="AG12" s="38"/>
      <c r="AH12" s="102"/>
      <c r="AI12" s="44"/>
      <c r="AK12" s="662"/>
      <c r="AL12" s="664"/>
      <c r="AM12" s="31"/>
      <c r="AN12" s="38"/>
      <c r="AO12" s="102"/>
      <c r="AP12" s="44"/>
      <c r="AR12" s="662"/>
      <c r="AS12" s="664"/>
      <c r="AT12" s="31"/>
      <c r="AU12" s="38"/>
      <c r="AV12" s="102"/>
      <c r="AW12" s="44"/>
      <c r="AY12" s="662"/>
      <c r="AZ12" s="664"/>
      <c r="BA12" s="31"/>
      <c r="BB12" s="38"/>
      <c r="BC12" s="174"/>
      <c r="BD12" s="163"/>
      <c r="BF12" s="662"/>
      <c r="BG12" s="664"/>
      <c r="BH12" s="31"/>
      <c r="BI12" s="38"/>
      <c r="BJ12" s="174"/>
      <c r="BK12" s="163"/>
    </row>
    <row r="13" spans="1:63" ht="18.75" customHeight="1">
      <c r="B13" s="667"/>
      <c r="C13" s="668"/>
      <c r="D13" s="32"/>
      <c r="E13" s="39"/>
      <c r="F13" s="37"/>
      <c r="G13" s="45"/>
      <c r="I13" s="667"/>
      <c r="J13" s="668"/>
      <c r="K13" s="32"/>
      <c r="L13" s="39"/>
      <c r="M13" s="37"/>
      <c r="N13" s="45"/>
      <c r="P13" s="667"/>
      <c r="Q13" s="668"/>
      <c r="R13" s="32"/>
      <c r="S13" s="39"/>
      <c r="T13" s="37"/>
      <c r="U13" s="45"/>
      <c r="W13" s="667"/>
      <c r="X13" s="668"/>
      <c r="Y13" s="32"/>
      <c r="Z13" s="39"/>
      <c r="AA13" s="37"/>
      <c r="AB13" s="45"/>
      <c r="AD13" s="667"/>
      <c r="AE13" s="668"/>
      <c r="AF13" s="32"/>
      <c r="AG13" s="39"/>
      <c r="AH13" s="101"/>
      <c r="AI13" s="45"/>
      <c r="AK13" s="667"/>
      <c r="AL13" s="668"/>
      <c r="AM13" s="32"/>
      <c r="AN13" s="39"/>
      <c r="AO13" s="101"/>
      <c r="AP13" s="45"/>
      <c r="AR13" s="667"/>
      <c r="AS13" s="668"/>
      <c r="AT13" s="32"/>
      <c r="AU13" s="39"/>
      <c r="AV13" s="101"/>
      <c r="AW13" s="45"/>
      <c r="AY13" s="661"/>
      <c r="AZ13" s="668"/>
      <c r="BA13" s="32"/>
      <c r="BB13" s="39"/>
      <c r="BC13" s="173"/>
      <c r="BD13" s="164"/>
      <c r="BF13" s="667"/>
      <c r="BG13" s="668"/>
      <c r="BH13" s="32"/>
      <c r="BI13" s="39"/>
      <c r="BJ13" s="173"/>
      <c r="BK13" s="163"/>
    </row>
    <row r="14" spans="1:63">
      <c r="B14" s="662"/>
      <c r="C14" s="664"/>
      <c r="D14" s="31"/>
      <c r="E14" s="38"/>
      <c r="F14" s="92"/>
      <c r="G14" s="44"/>
      <c r="I14" s="662"/>
      <c r="J14" s="664"/>
      <c r="K14" s="31"/>
      <c r="L14" s="38"/>
      <c r="M14" s="92"/>
      <c r="N14" s="44"/>
      <c r="P14" s="662"/>
      <c r="Q14" s="664"/>
      <c r="R14" s="31"/>
      <c r="S14" s="38"/>
      <c r="T14" s="92"/>
      <c r="U14" s="44"/>
      <c r="W14" s="662"/>
      <c r="X14" s="664"/>
      <c r="Y14" s="31"/>
      <c r="Z14" s="38"/>
      <c r="AA14" s="92"/>
      <c r="AB14" s="44"/>
      <c r="AD14" s="662"/>
      <c r="AE14" s="664"/>
      <c r="AF14" s="31"/>
      <c r="AG14" s="38"/>
      <c r="AH14" s="102"/>
      <c r="AI14" s="44"/>
      <c r="AK14" s="662"/>
      <c r="AL14" s="664"/>
      <c r="AM14" s="31"/>
      <c r="AN14" s="38"/>
      <c r="AO14" s="102"/>
      <c r="AP14" s="44"/>
      <c r="AR14" s="662"/>
      <c r="AS14" s="664"/>
      <c r="AT14" s="31"/>
      <c r="AU14" s="38"/>
      <c r="AV14" s="102"/>
      <c r="AW14" s="44"/>
      <c r="AY14" s="662"/>
      <c r="AZ14" s="664"/>
      <c r="BA14" s="31"/>
      <c r="BB14" s="38"/>
      <c r="BC14" s="174"/>
      <c r="BD14" s="163"/>
      <c r="BF14" s="662"/>
      <c r="BG14" s="664"/>
      <c r="BH14" s="31"/>
      <c r="BI14" s="38"/>
      <c r="BJ14" s="174"/>
      <c r="BK14" s="163"/>
    </row>
    <row r="15" spans="1:63" ht="18.75" customHeight="1">
      <c r="B15" s="667"/>
      <c r="C15" s="668"/>
      <c r="D15" s="32"/>
      <c r="E15" s="39"/>
      <c r="F15" s="37"/>
      <c r="G15" s="45"/>
      <c r="I15" s="667"/>
      <c r="J15" s="668"/>
      <c r="K15" s="32"/>
      <c r="L15" s="39"/>
      <c r="M15" s="37"/>
      <c r="N15" s="45"/>
      <c r="P15" s="667"/>
      <c r="Q15" s="668"/>
      <c r="R15" s="32"/>
      <c r="S15" s="39"/>
      <c r="T15" s="37"/>
      <c r="U15" s="45"/>
      <c r="W15" s="667"/>
      <c r="X15" s="668"/>
      <c r="Y15" s="32"/>
      <c r="Z15" s="39"/>
      <c r="AA15" s="37"/>
      <c r="AB15" s="45"/>
      <c r="AD15" s="667"/>
      <c r="AE15" s="668"/>
      <c r="AF15" s="32"/>
      <c r="AG15" s="39"/>
      <c r="AH15" s="101"/>
      <c r="AI15" s="45"/>
      <c r="AK15" s="667"/>
      <c r="AL15" s="668"/>
      <c r="AM15" s="32"/>
      <c r="AN15" s="39"/>
      <c r="AO15" s="101"/>
      <c r="AP15" s="45"/>
      <c r="AR15" s="667"/>
      <c r="AS15" s="668"/>
      <c r="AT15" s="32"/>
      <c r="AU15" s="39"/>
      <c r="AV15" s="101"/>
      <c r="AW15" s="45"/>
      <c r="AY15" s="661"/>
      <c r="AZ15" s="663" t="s">
        <v>625</v>
      </c>
      <c r="BA15" s="32" t="s">
        <v>41</v>
      </c>
      <c r="BB15" s="39"/>
      <c r="BC15" s="173"/>
      <c r="BD15" s="164"/>
      <c r="BF15" s="667"/>
      <c r="BG15" s="663" t="s">
        <v>625</v>
      </c>
      <c r="BH15" s="32" t="s">
        <v>40</v>
      </c>
      <c r="BI15" s="39"/>
      <c r="BJ15" s="101"/>
      <c r="BK15" s="164"/>
    </row>
    <row r="16" spans="1:63">
      <c r="B16" s="662"/>
      <c r="C16" s="664"/>
      <c r="D16" s="31"/>
      <c r="E16" s="38"/>
      <c r="F16" s="92"/>
      <c r="G16" s="44"/>
      <c r="I16" s="662"/>
      <c r="J16" s="664"/>
      <c r="K16" s="31"/>
      <c r="L16" s="38"/>
      <c r="M16" s="92"/>
      <c r="N16" s="44"/>
      <c r="P16" s="662"/>
      <c r="Q16" s="664"/>
      <c r="R16" s="31"/>
      <c r="S16" s="38"/>
      <c r="T16" s="92"/>
      <c r="U16" s="44"/>
      <c r="W16" s="662"/>
      <c r="X16" s="664"/>
      <c r="Y16" s="31"/>
      <c r="Z16" s="38"/>
      <c r="AA16" s="92"/>
      <c r="AB16" s="44"/>
      <c r="AD16" s="662"/>
      <c r="AE16" s="664"/>
      <c r="AF16" s="31"/>
      <c r="AG16" s="38"/>
      <c r="AH16" s="102"/>
      <c r="AI16" s="44"/>
      <c r="AK16" s="662"/>
      <c r="AL16" s="664"/>
      <c r="AM16" s="31"/>
      <c r="AN16" s="38"/>
      <c r="AO16" s="102"/>
      <c r="AP16" s="44"/>
      <c r="AR16" s="662"/>
      <c r="AS16" s="664"/>
      <c r="AT16" s="31"/>
      <c r="AU16" s="38"/>
      <c r="AV16" s="102"/>
      <c r="AW16" s="44"/>
      <c r="AY16" s="662"/>
      <c r="AZ16" s="664"/>
      <c r="BA16" s="31"/>
      <c r="BB16" s="38"/>
      <c r="BC16" s="174"/>
      <c r="BD16" s="163"/>
      <c r="BF16" s="662"/>
      <c r="BG16" s="664"/>
      <c r="BH16" s="31"/>
      <c r="BI16" s="38"/>
      <c r="BJ16" s="102"/>
      <c r="BK16" s="163"/>
    </row>
    <row r="17" spans="2:63" ht="18.75" customHeight="1">
      <c r="B17" s="667"/>
      <c r="C17" s="668"/>
      <c r="D17" s="32"/>
      <c r="E17" s="39"/>
      <c r="F17" s="37"/>
      <c r="G17" s="45"/>
      <c r="I17" s="661"/>
      <c r="J17" s="668"/>
      <c r="K17" s="32"/>
      <c r="L17" s="39"/>
      <c r="M17" s="37"/>
      <c r="N17" s="45"/>
      <c r="P17" s="661"/>
      <c r="Q17" s="668"/>
      <c r="R17" s="32"/>
      <c r="S17" s="39"/>
      <c r="T17" s="37"/>
      <c r="U17" s="45"/>
      <c r="W17" s="661"/>
      <c r="X17" s="668"/>
      <c r="Y17" s="32"/>
      <c r="Z17" s="39"/>
      <c r="AA17" s="37"/>
      <c r="AB17" s="45"/>
      <c r="AD17" s="661"/>
      <c r="AE17" s="668"/>
      <c r="AF17" s="32"/>
      <c r="AG17" s="39"/>
      <c r="AH17" s="101"/>
      <c r="AI17" s="45"/>
      <c r="AK17" s="661"/>
      <c r="AL17" s="668"/>
      <c r="AM17" s="32"/>
      <c r="AN17" s="39"/>
      <c r="AO17" s="101"/>
      <c r="AP17" s="45"/>
      <c r="AR17" s="661"/>
      <c r="AS17" s="668"/>
      <c r="AT17" s="32"/>
      <c r="AU17" s="39"/>
      <c r="AV17" s="101"/>
      <c r="AW17" s="45"/>
      <c r="AY17" s="661" t="s">
        <v>281</v>
      </c>
      <c r="AZ17" s="668" t="s">
        <v>627</v>
      </c>
      <c r="BA17" s="32" t="s">
        <v>41</v>
      </c>
      <c r="BB17" s="39"/>
      <c r="BC17" s="173" t="s">
        <v>841</v>
      </c>
      <c r="BD17" s="164"/>
      <c r="BF17" s="661" t="s">
        <v>352</v>
      </c>
      <c r="BG17" s="668" t="s">
        <v>907</v>
      </c>
      <c r="BH17" s="32" t="s">
        <v>41</v>
      </c>
      <c r="BI17" s="39"/>
      <c r="BJ17" s="173" t="s">
        <v>772</v>
      </c>
      <c r="BK17" s="164"/>
    </row>
    <row r="18" spans="2:63">
      <c r="B18" s="662"/>
      <c r="C18" s="664"/>
      <c r="D18" s="31"/>
      <c r="E18" s="38"/>
      <c r="F18" s="92"/>
      <c r="G18" s="44"/>
      <c r="I18" s="662"/>
      <c r="J18" s="664"/>
      <c r="K18" s="31"/>
      <c r="L18" s="38"/>
      <c r="M18" s="92"/>
      <c r="N18" s="44"/>
      <c r="P18" s="662"/>
      <c r="Q18" s="664"/>
      <c r="R18" s="31"/>
      <c r="S18" s="38"/>
      <c r="T18" s="92"/>
      <c r="U18" s="44"/>
      <c r="W18" s="662"/>
      <c r="X18" s="664"/>
      <c r="Y18" s="31"/>
      <c r="Z18" s="38"/>
      <c r="AA18" s="92"/>
      <c r="AB18" s="44"/>
      <c r="AD18" s="662"/>
      <c r="AE18" s="664"/>
      <c r="AF18" s="31"/>
      <c r="AG18" s="38"/>
      <c r="AH18" s="102"/>
      <c r="AI18" s="44"/>
      <c r="AK18" s="662"/>
      <c r="AL18" s="664"/>
      <c r="AM18" s="31"/>
      <c r="AN18" s="38"/>
      <c r="AO18" s="102"/>
      <c r="AP18" s="44"/>
      <c r="AR18" s="662"/>
      <c r="AS18" s="664"/>
      <c r="AT18" s="31"/>
      <c r="AU18" s="38"/>
      <c r="AV18" s="102"/>
      <c r="AW18" s="44"/>
      <c r="AY18" s="662"/>
      <c r="AZ18" s="664"/>
      <c r="BA18" s="31"/>
      <c r="BB18" s="38"/>
      <c r="BC18" s="174"/>
      <c r="BD18" s="163"/>
      <c r="BF18" s="662"/>
      <c r="BG18" s="664"/>
      <c r="BH18" s="31"/>
      <c r="BI18" s="38"/>
      <c r="BJ18" s="174"/>
      <c r="BK18" s="163"/>
    </row>
    <row r="19" spans="2:63" ht="18.75" customHeight="1">
      <c r="B19" s="661"/>
      <c r="C19" s="663"/>
      <c r="D19" s="32"/>
      <c r="E19" s="39"/>
      <c r="F19" s="37"/>
      <c r="G19" s="45"/>
      <c r="I19" s="661"/>
      <c r="J19" s="663"/>
      <c r="K19" s="32"/>
      <c r="L19" s="39"/>
      <c r="M19" s="37"/>
      <c r="N19" s="45"/>
      <c r="P19" s="661"/>
      <c r="Q19" s="663"/>
      <c r="R19" s="32"/>
      <c r="S19" s="39"/>
      <c r="T19" s="37"/>
      <c r="U19" s="45"/>
      <c r="W19" s="661"/>
      <c r="X19" s="663"/>
      <c r="Y19" s="32"/>
      <c r="Z19" s="39"/>
      <c r="AA19" s="37"/>
      <c r="AB19" s="45"/>
      <c r="AD19" s="661"/>
      <c r="AE19" s="663"/>
      <c r="AF19" s="32"/>
      <c r="AG19" s="39"/>
      <c r="AH19" s="101"/>
      <c r="AI19" s="45"/>
      <c r="AK19" s="661"/>
      <c r="AL19" s="663"/>
      <c r="AM19" s="32"/>
      <c r="AN19" s="39"/>
      <c r="AO19" s="101"/>
      <c r="AP19" s="45"/>
      <c r="AR19" s="661"/>
      <c r="AS19" s="663"/>
      <c r="AT19" s="32"/>
      <c r="AU19" s="39"/>
      <c r="AV19" s="101"/>
      <c r="AW19" s="45"/>
      <c r="AY19" s="661"/>
      <c r="AZ19" s="668"/>
      <c r="BA19" s="32"/>
      <c r="BB19" s="39"/>
      <c r="BC19" s="173"/>
      <c r="BD19" s="164"/>
      <c r="BF19" s="661" t="s">
        <v>353</v>
      </c>
      <c r="BG19" s="663" t="s">
        <v>860</v>
      </c>
      <c r="BH19" s="32" t="s">
        <v>40</v>
      </c>
      <c r="BI19" s="39"/>
      <c r="BJ19" s="173" t="s">
        <v>845</v>
      </c>
      <c r="BK19" s="164"/>
    </row>
    <row r="20" spans="2:63">
      <c r="B20" s="662"/>
      <c r="C20" s="664"/>
      <c r="D20" s="31"/>
      <c r="E20" s="38"/>
      <c r="F20" s="92"/>
      <c r="G20" s="44"/>
      <c r="I20" s="662"/>
      <c r="J20" s="664"/>
      <c r="K20" s="31"/>
      <c r="L20" s="38"/>
      <c r="M20" s="92"/>
      <c r="N20" s="44"/>
      <c r="P20" s="662"/>
      <c r="Q20" s="664"/>
      <c r="R20" s="31"/>
      <c r="S20" s="38"/>
      <c r="T20" s="92"/>
      <c r="U20" s="44"/>
      <c r="W20" s="662"/>
      <c r="X20" s="664"/>
      <c r="Y20" s="31"/>
      <c r="Z20" s="38"/>
      <c r="AA20" s="92"/>
      <c r="AB20" s="44"/>
      <c r="AD20" s="662"/>
      <c r="AE20" s="664"/>
      <c r="AF20" s="31"/>
      <c r="AG20" s="38"/>
      <c r="AH20" s="102"/>
      <c r="AI20" s="44"/>
      <c r="AK20" s="662"/>
      <c r="AL20" s="664"/>
      <c r="AM20" s="31"/>
      <c r="AN20" s="38"/>
      <c r="AO20" s="102"/>
      <c r="AP20" s="44"/>
      <c r="AR20" s="662"/>
      <c r="AS20" s="664"/>
      <c r="AT20" s="31"/>
      <c r="AU20" s="38"/>
      <c r="AV20" s="102"/>
      <c r="AW20" s="44"/>
      <c r="AY20" s="662"/>
      <c r="AZ20" s="664"/>
      <c r="BA20" s="31"/>
      <c r="BB20" s="38"/>
      <c r="BC20" s="174"/>
      <c r="BD20" s="163"/>
      <c r="BF20" s="662"/>
      <c r="BG20" s="664"/>
      <c r="BH20" s="31"/>
      <c r="BI20" s="38"/>
      <c r="BJ20" s="174"/>
      <c r="BK20" s="163"/>
    </row>
    <row r="21" spans="2:63">
      <c r="B21" s="661"/>
      <c r="C21" s="663"/>
      <c r="D21" s="32"/>
      <c r="E21" s="39"/>
      <c r="F21" s="37"/>
      <c r="G21" s="45"/>
      <c r="I21" s="661"/>
      <c r="J21" s="663"/>
      <c r="K21" s="32"/>
      <c r="L21" s="39"/>
      <c r="M21" s="37"/>
      <c r="N21" s="45"/>
      <c r="P21" s="661"/>
      <c r="Q21" s="663"/>
      <c r="R21" s="32"/>
      <c r="S21" s="39"/>
      <c r="T21" s="37"/>
      <c r="U21" s="45"/>
      <c r="W21" s="661"/>
      <c r="X21" s="663"/>
      <c r="Y21" s="32"/>
      <c r="Z21" s="39"/>
      <c r="AA21" s="37"/>
      <c r="AB21" s="45"/>
      <c r="AD21" s="661"/>
      <c r="AE21" s="663"/>
      <c r="AF21" s="32"/>
      <c r="AG21" s="39"/>
      <c r="AH21" s="101"/>
      <c r="AI21" s="45"/>
      <c r="AK21" s="661"/>
      <c r="AL21" s="663"/>
      <c r="AM21" s="32"/>
      <c r="AN21" s="39"/>
      <c r="AO21" s="101"/>
      <c r="AP21" s="45"/>
      <c r="AR21" s="661"/>
      <c r="AS21" s="663"/>
      <c r="AT21" s="32"/>
      <c r="AU21" s="39"/>
      <c r="AV21" s="101"/>
      <c r="AW21" s="45"/>
      <c r="AY21" s="661"/>
      <c r="AZ21" s="663" t="s">
        <v>625</v>
      </c>
      <c r="BA21" s="32" t="s">
        <v>41</v>
      </c>
      <c r="BB21" s="39"/>
      <c r="BC21" s="173"/>
      <c r="BD21" s="164"/>
      <c r="BF21" s="661"/>
      <c r="BG21" s="663"/>
      <c r="BH21" s="32"/>
      <c r="BI21" s="39"/>
      <c r="BJ21" s="173"/>
      <c r="BK21" s="163"/>
    </row>
    <row r="22" spans="2:63">
      <c r="B22" s="662"/>
      <c r="C22" s="664"/>
      <c r="D22" s="31"/>
      <c r="E22" s="38"/>
      <c r="F22" s="92"/>
      <c r="G22" s="44"/>
      <c r="I22" s="662"/>
      <c r="J22" s="664"/>
      <c r="K22" s="31"/>
      <c r="L22" s="38"/>
      <c r="M22" s="92"/>
      <c r="N22" s="44"/>
      <c r="P22" s="662"/>
      <c r="Q22" s="664"/>
      <c r="R22" s="31"/>
      <c r="S22" s="38"/>
      <c r="T22" s="92"/>
      <c r="U22" s="44"/>
      <c r="W22" s="662"/>
      <c r="X22" s="664"/>
      <c r="Y22" s="31"/>
      <c r="Z22" s="38"/>
      <c r="AA22" s="92"/>
      <c r="AB22" s="44"/>
      <c r="AD22" s="662"/>
      <c r="AE22" s="664"/>
      <c r="AF22" s="31"/>
      <c r="AG22" s="38"/>
      <c r="AH22" s="102"/>
      <c r="AI22" s="44"/>
      <c r="AK22" s="662"/>
      <c r="AL22" s="664"/>
      <c r="AM22" s="31"/>
      <c r="AN22" s="38"/>
      <c r="AO22" s="102"/>
      <c r="AP22" s="44"/>
      <c r="AR22" s="662"/>
      <c r="AS22" s="664"/>
      <c r="AT22" s="31"/>
      <c r="AU22" s="38"/>
      <c r="AV22" s="102"/>
      <c r="AW22" s="44"/>
      <c r="AY22" s="662"/>
      <c r="AZ22" s="664"/>
      <c r="BA22" s="31"/>
      <c r="BB22" s="38"/>
      <c r="BC22" s="174"/>
      <c r="BD22" s="163"/>
      <c r="BF22" s="662"/>
      <c r="BG22" s="664"/>
      <c r="BH22" s="31"/>
      <c r="BI22" s="38"/>
      <c r="BJ22" s="174"/>
      <c r="BK22" s="163"/>
    </row>
    <row r="23" spans="2:63">
      <c r="B23" s="661"/>
      <c r="C23" s="663"/>
      <c r="D23" s="32"/>
      <c r="E23" s="39"/>
      <c r="F23" s="37"/>
      <c r="G23" s="45"/>
      <c r="I23" s="661"/>
      <c r="J23" s="663"/>
      <c r="K23" s="32"/>
      <c r="L23" s="39"/>
      <c r="M23" s="37"/>
      <c r="N23" s="45"/>
      <c r="P23" s="661"/>
      <c r="Q23" s="663"/>
      <c r="R23" s="32"/>
      <c r="S23" s="39"/>
      <c r="T23" s="37"/>
      <c r="U23" s="45"/>
      <c r="W23" s="661"/>
      <c r="X23" s="663"/>
      <c r="Y23" s="32"/>
      <c r="Z23" s="39"/>
      <c r="AA23" s="37"/>
      <c r="AB23" s="45"/>
      <c r="AD23" s="661"/>
      <c r="AE23" s="663"/>
      <c r="AF23" s="32"/>
      <c r="AG23" s="39"/>
      <c r="AH23" s="101"/>
      <c r="AI23" s="45"/>
      <c r="AK23" s="661"/>
      <c r="AL23" s="663"/>
      <c r="AM23" s="32"/>
      <c r="AN23" s="39"/>
      <c r="AO23" s="101"/>
      <c r="AP23" s="45"/>
      <c r="AR23" s="661"/>
      <c r="AS23" s="663"/>
      <c r="AT23" s="32"/>
      <c r="AU23" s="39"/>
      <c r="AV23" s="101"/>
      <c r="AW23" s="45"/>
      <c r="AY23" s="661" t="s">
        <v>283</v>
      </c>
      <c r="AZ23" s="668" t="s">
        <v>628</v>
      </c>
      <c r="BA23" s="32" t="s">
        <v>41</v>
      </c>
      <c r="BB23" s="39"/>
      <c r="BC23" s="173" t="s">
        <v>773</v>
      </c>
      <c r="BD23" s="164"/>
      <c r="BF23" s="661"/>
      <c r="BG23" s="663" t="s">
        <v>625</v>
      </c>
      <c r="BH23" s="32" t="s">
        <v>40</v>
      </c>
      <c r="BI23" s="39"/>
      <c r="BJ23" s="173"/>
      <c r="BK23" s="164"/>
    </row>
    <row r="24" spans="2:63">
      <c r="B24" s="662"/>
      <c r="C24" s="664"/>
      <c r="D24" s="31"/>
      <c r="E24" s="38"/>
      <c r="F24" s="92"/>
      <c r="G24" s="44"/>
      <c r="I24" s="662"/>
      <c r="J24" s="664"/>
      <c r="K24" s="31"/>
      <c r="L24" s="38"/>
      <c r="M24" s="92"/>
      <c r="N24" s="44"/>
      <c r="P24" s="662"/>
      <c r="Q24" s="664"/>
      <c r="R24" s="31"/>
      <c r="S24" s="38"/>
      <c r="T24" s="92"/>
      <c r="U24" s="44"/>
      <c r="W24" s="662"/>
      <c r="X24" s="664"/>
      <c r="Y24" s="31"/>
      <c r="Z24" s="38"/>
      <c r="AA24" s="92"/>
      <c r="AB24" s="44"/>
      <c r="AD24" s="662"/>
      <c r="AE24" s="664"/>
      <c r="AF24" s="31"/>
      <c r="AG24" s="38"/>
      <c r="AH24" s="102"/>
      <c r="AI24" s="44"/>
      <c r="AK24" s="662"/>
      <c r="AL24" s="664"/>
      <c r="AM24" s="31"/>
      <c r="AN24" s="38"/>
      <c r="AO24" s="102"/>
      <c r="AP24" s="44"/>
      <c r="AR24" s="662"/>
      <c r="AS24" s="664"/>
      <c r="AT24" s="31"/>
      <c r="AU24" s="38"/>
      <c r="AV24" s="102"/>
      <c r="AW24" s="44"/>
      <c r="AY24" s="662"/>
      <c r="AZ24" s="664"/>
      <c r="BA24" s="31"/>
      <c r="BB24" s="38"/>
      <c r="BC24" s="174"/>
      <c r="BD24" s="163"/>
      <c r="BF24" s="662"/>
      <c r="BG24" s="664"/>
      <c r="BH24" s="31"/>
      <c r="BI24" s="38"/>
      <c r="BJ24" s="174"/>
      <c r="BK24" s="163"/>
    </row>
    <row r="25" spans="2:63" ht="18.75" customHeight="1">
      <c r="B25" s="661"/>
      <c r="C25" s="663"/>
      <c r="D25" s="32"/>
      <c r="E25" s="39"/>
      <c r="F25" s="37"/>
      <c r="G25" s="45"/>
      <c r="I25" s="661"/>
      <c r="J25" s="663"/>
      <c r="K25" s="32"/>
      <c r="L25" s="39"/>
      <c r="M25" s="37"/>
      <c r="N25" s="45"/>
      <c r="P25" s="661"/>
      <c r="Q25" s="663"/>
      <c r="R25" s="32"/>
      <c r="S25" s="39"/>
      <c r="T25" s="37"/>
      <c r="U25" s="45"/>
      <c r="W25" s="661"/>
      <c r="X25" s="663"/>
      <c r="Y25" s="32"/>
      <c r="Z25" s="39"/>
      <c r="AA25" s="37"/>
      <c r="AB25" s="45"/>
      <c r="AD25" s="661"/>
      <c r="AE25" s="663"/>
      <c r="AF25" s="32"/>
      <c r="AG25" s="39"/>
      <c r="AH25" s="101"/>
      <c r="AI25" s="45"/>
      <c r="AK25" s="661"/>
      <c r="AL25" s="663"/>
      <c r="AM25" s="32"/>
      <c r="AN25" s="39"/>
      <c r="AO25" s="101"/>
      <c r="AP25" s="45"/>
      <c r="AR25" s="661"/>
      <c r="AS25" s="663"/>
      <c r="AT25" s="32"/>
      <c r="AU25" s="39"/>
      <c r="AV25" s="101"/>
      <c r="AW25" s="45"/>
      <c r="AY25" s="661"/>
      <c r="AZ25" s="668" t="s">
        <v>905</v>
      </c>
      <c r="BA25" s="32" t="s">
        <v>41</v>
      </c>
      <c r="BB25" s="39"/>
      <c r="BC25" s="173"/>
      <c r="BD25" s="164"/>
      <c r="BF25" s="661" t="s">
        <v>355</v>
      </c>
      <c r="BG25" s="663" t="s">
        <v>361</v>
      </c>
      <c r="BH25" s="32" t="s">
        <v>40</v>
      </c>
      <c r="BI25" s="39"/>
      <c r="BJ25" s="173" t="s">
        <v>843</v>
      </c>
      <c r="BK25" s="164"/>
    </row>
    <row r="26" spans="2:63">
      <c r="B26" s="662"/>
      <c r="C26" s="664"/>
      <c r="D26" s="31"/>
      <c r="E26" s="38"/>
      <c r="F26" s="92"/>
      <c r="G26" s="44"/>
      <c r="I26" s="662"/>
      <c r="J26" s="664"/>
      <c r="K26" s="31"/>
      <c r="L26" s="38"/>
      <c r="M26" s="92"/>
      <c r="N26" s="44"/>
      <c r="P26" s="662"/>
      <c r="Q26" s="664"/>
      <c r="R26" s="31"/>
      <c r="S26" s="38"/>
      <c r="T26" s="92"/>
      <c r="U26" s="44"/>
      <c r="W26" s="662"/>
      <c r="X26" s="664"/>
      <c r="Y26" s="31"/>
      <c r="Z26" s="38"/>
      <c r="AA26" s="92"/>
      <c r="AB26" s="44"/>
      <c r="AD26" s="662"/>
      <c r="AE26" s="664"/>
      <c r="AF26" s="31"/>
      <c r="AG26" s="38"/>
      <c r="AH26" s="102"/>
      <c r="AI26" s="44"/>
      <c r="AK26" s="662"/>
      <c r="AL26" s="664"/>
      <c r="AM26" s="31"/>
      <c r="AN26" s="38"/>
      <c r="AO26" s="102"/>
      <c r="AP26" s="44"/>
      <c r="AR26" s="662"/>
      <c r="AS26" s="664"/>
      <c r="AT26" s="31"/>
      <c r="AU26" s="38"/>
      <c r="AV26" s="102"/>
      <c r="AW26" s="44"/>
      <c r="AY26" s="662"/>
      <c r="AZ26" s="664"/>
      <c r="BA26" s="31"/>
      <c r="BB26" s="38"/>
      <c r="BC26" s="174"/>
      <c r="BD26" s="163"/>
      <c r="BF26" s="662"/>
      <c r="BG26" s="664"/>
      <c r="BH26" s="31"/>
      <c r="BI26" s="38"/>
      <c r="BJ26" s="174"/>
      <c r="BK26" s="163"/>
    </row>
    <row r="27" spans="2:63">
      <c r="B27" s="661"/>
      <c r="C27" s="663"/>
      <c r="D27" s="32"/>
      <c r="E27" s="39"/>
      <c r="F27" s="37"/>
      <c r="G27" s="45"/>
      <c r="I27" s="661"/>
      <c r="J27" s="663"/>
      <c r="K27" s="32"/>
      <c r="L27" s="39"/>
      <c r="M27" s="37"/>
      <c r="N27" s="45"/>
      <c r="P27" s="661"/>
      <c r="Q27" s="663"/>
      <c r="R27" s="32"/>
      <c r="S27" s="39"/>
      <c r="T27" s="37"/>
      <c r="U27" s="45"/>
      <c r="W27" s="661"/>
      <c r="X27" s="663"/>
      <c r="Y27" s="32"/>
      <c r="Z27" s="39"/>
      <c r="AA27" s="37"/>
      <c r="AB27" s="45"/>
      <c r="AD27" s="661"/>
      <c r="AE27" s="663"/>
      <c r="AF27" s="32"/>
      <c r="AG27" s="39"/>
      <c r="AH27" s="101"/>
      <c r="AI27" s="45"/>
      <c r="AK27" s="661"/>
      <c r="AL27" s="663"/>
      <c r="AM27" s="32"/>
      <c r="AN27" s="39"/>
      <c r="AO27" s="101"/>
      <c r="AP27" s="45"/>
      <c r="AR27" s="661"/>
      <c r="AS27" s="663"/>
      <c r="AT27" s="32"/>
      <c r="AU27" s="39"/>
      <c r="AV27" s="101"/>
      <c r="AW27" s="45"/>
      <c r="AY27" s="667" t="s">
        <v>284</v>
      </c>
      <c r="AZ27" s="668" t="s">
        <v>358</v>
      </c>
      <c r="BA27" s="32" t="s">
        <v>41</v>
      </c>
      <c r="BB27" s="39"/>
      <c r="BC27" s="173" t="s">
        <v>842</v>
      </c>
      <c r="BD27" s="164"/>
      <c r="BF27" s="682"/>
      <c r="BG27" s="663"/>
      <c r="BH27" s="32"/>
      <c r="BI27" s="39"/>
      <c r="BJ27" s="173"/>
      <c r="BK27" s="164"/>
    </row>
    <row r="28" spans="2:63">
      <c r="B28" s="662"/>
      <c r="C28" s="664"/>
      <c r="D28" s="31"/>
      <c r="E28" s="38"/>
      <c r="F28" s="92"/>
      <c r="G28" s="44"/>
      <c r="I28" s="662"/>
      <c r="J28" s="664"/>
      <c r="K28" s="31"/>
      <c r="L28" s="38"/>
      <c r="M28" s="92"/>
      <c r="N28" s="44"/>
      <c r="P28" s="662"/>
      <c r="Q28" s="664"/>
      <c r="R28" s="31"/>
      <c r="S28" s="38"/>
      <c r="T28" s="92"/>
      <c r="U28" s="44"/>
      <c r="W28" s="662"/>
      <c r="X28" s="664"/>
      <c r="Y28" s="31"/>
      <c r="Z28" s="38"/>
      <c r="AA28" s="92"/>
      <c r="AB28" s="44"/>
      <c r="AD28" s="662"/>
      <c r="AE28" s="664"/>
      <c r="AF28" s="31"/>
      <c r="AG28" s="38"/>
      <c r="AH28" s="102"/>
      <c r="AI28" s="44"/>
      <c r="AK28" s="662"/>
      <c r="AL28" s="664"/>
      <c r="AM28" s="31"/>
      <c r="AN28" s="38"/>
      <c r="AO28" s="102"/>
      <c r="AP28" s="44"/>
      <c r="AR28" s="662"/>
      <c r="AS28" s="664"/>
      <c r="AT28" s="31"/>
      <c r="AU28" s="38"/>
      <c r="AV28" s="102"/>
      <c r="AW28" s="44"/>
      <c r="AY28" s="662"/>
      <c r="AZ28" s="664"/>
      <c r="BA28" s="31"/>
      <c r="BB28" s="38"/>
      <c r="BC28" s="174"/>
      <c r="BD28" s="163"/>
      <c r="BF28" s="662"/>
      <c r="BG28" s="664"/>
      <c r="BH28" s="31"/>
      <c r="BI28" s="38"/>
      <c r="BJ28" s="174"/>
      <c r="BK28" s="163"/>
    </row>
    <row r="29" spans="2:63">
      <c r="B29" s="661"/>
      <c r="C29" s="663"/>
      <c r="D29" s="32"/>
      <c r="E29" s="39"/>
      <c r="F29" s="37"/>
      <c r="G29" s="45"/>
      <c r="I29" s="661"/>
      <c r="J29" s="663"/>
      <c r="K29" s="32"/>
      <c r="L29" s="39"/>
      <c r="M29" s="37"/>
      <c r="N29" s="45"/>
      <c r="P29" s="661"/>
      <c r="Q29" s="663"/>
      <c r="R29" s="32"/>
      <c r="S29" s="39"/>
      <c r="T29" s="37"/>
      <c r="U29" s="45"/>
      <c r="W29" s="661"/>
      <c r="X29" s="663"/>
      <c r="Y29" s="32"/>
      <c r="Z29" s="39"/>
      <c r="AA29" s="37"/>
      <c r="AB29" s="45"/>
      <c r="AD29" s="661"/>
      <c r="AE29" s="663"/>
      <c r="AF29" s="32"/>
      <c r="AG29" s="39"/>
      <c r="AH29" s="101"/>
      <c r="AI29" s="45"/>
      <c r="AK29" s="661"/>
      <c r="AL29" s="663"/>
      <c r="AM29" s="32"/>
      <c r="AN29" s="39"/>
      <c r="AO29" s="101"/>
      <c r="AP29" s="45"/>
      <c r="AR29" s="661"/>
      <c r="AS29" s="663"/>
      <c r="AT29" s="32"/>
      <c r="AU29" s="39"/>
      <c r="AV29" s="101"/>
      <c r="AW29" s="45"/>
      <c r="AY29" s="667" t="s">
        <v>350</v>
      </c>
      <c r="AZ29" s="668"/>
      <c r="BA29" s="32" t="s">
        <v>17</v>
      </c>
      <c r="BB29" s="39"/>
      <c r="BC29" s="173"/>
      <c r="BD29" s="164"/>
      <c r="BF29" s="667"/>
      <c r="BG29" s="663" t="s">
        <v>625</v>
      </c>
      <c r="BH29" s="32" t="s">
        <v>40</v>
      </c>
      <c r="BI29" s="39"/>
      <c r="BJ29" s="173"/>
      <c r="BK29" s="164"/>
    </row>
    <row r="30" spans="2:63">
      <c r="B30" s="662"/>
      <c r="C30" s="664"/>
      <c r="D30" s="31"/>
      <c r="E30" s="38"/>
      <c r="F30" s="92"/>
      <c r="G30" s="44"/>
      <c r="I30" s="662"/>
      <c r="J30" s="664"/>
      <c r="K30" s="31"/>
      <c r="L30" s="38"/>
      <c r="M30" s="92"/>
      <c r="N30" s="44"/>
      <c r="P30" s="662"/>
      <c r="Q30" s="664"/>
      <c r="R30" s="31"/>
      <c r="S30" s="38"/>
      <c r="T30" s="92"/>
      <c r="U30" s="44"/>
      <c r="W30" s="662"/>
      <c r="X30" s="664"/>
      <c r="Y30" s="31"/>
      <c r="Z30" s="38"/>
      <c r="AA30" s="92"/>
      <c r="AB30" s="44"/>
      <c r="AD30" s="662"/>
      <c r="AE30" s="664"/>
      <c r="AF30" s="31"/>
      <c r="AG30" s="38"/>
      <c r="AH30" s="102"/>
      <c r="AI30" s="44"/>
      <c r="AK30" s="662"/>
      <c r="AL30" s="664"/>
      <c r="AM30" s="31"/>
      <c r="AN30" s="38"/>
      <c r="AO30" s="102"/>
      <c r="AP30" s="44"/>
      <c r="AR30" s="662"/>
      <c r="AS30" s="664"/>
      <c r="AT30" s="31"/>
      <c r="AU30" s="38"/>
      <c r="AV30" s="102"/>
      <c r="AW30" s="44"/>
      <c r="AY30" s="662"/>
      <c r="AZ30" s="664"/>
      <c r="BA30" s="31"/>
      <c r="BB30" s="38"/>
      <c r="BC30" s="174"/>
      <c r="BD30" s="163"/>
      <c r="BF30" s="662"/>
      <c r="BG30" s="664"/>
      <c r="BH30" s="31"/>
      <c r="BI30" s="38"/>
      <c r="BJ30" s="174"/>
      <c r="BK30" s="163"/>
    </row>
    <row r="31" spans="2:63">
      <c r="B31" s="661"/>
      <c r="C31" s="663"/>
      <c r="D31" s="32"/>
      <c r="E31" s="39"/>
      <c r="F31" s="37"/>
      <c r="G31" s="45"/>
      <c r="I31" s="661"/>
      <c r="J31" s="663"/>
      <c r="K31" s="32"/>
      <c r="L31" s="39"/>
      <c r="M31" s="37"/>
      <c r="N31" s="45"/>
      <c r="P31" s="661"/>
      <c r="Q31" s="663"/>
      <c r="R31" s="32"/>
      <c r="S31" s="39"/>
      <c r="T31" s="37"/>
      <c r="U31" s="45"/>
      <c r="W31" s="661"/>
      <c r="X31" s="663"/>
      <c r="Y31" s="32"/>
      <c r="Z31" s="39"/>
      <c r="AA31" s="37"/>
      <c r="AB31" s="45"/>
      <c r="AD31" s="661"/>
      <c r="AE31" s="663"/>
      <c r="AF31" s="32"/>
      <c r="AG31" s="39"/>
      <c r="AH31" s="101"/>
      <c r="AI31" s="45"/>
      <c r="AK31" s="661"/>
      <c r="AL31" s="663"/>
      <c r="AM31" s="32"/>
      <c r="AN31" s="39"/>
      <c r="AO31" s="101"/>
      <c r="AP31" s="45"/>
      <c r="AR31" s="661"/>
      <c r="AS31" s="663"/>
      <c r="AT31" s="32"/>
      <c r="AU31" s="39"/>
      <c r="AV31" s="101"/>
      <c r="AW31" s="45"/>
      <c r="AY31" s="682"/>
      <c r="AZ31" s="683"/>
      <c r="BA31" s="30"/>
      <c r="BB31" s="37"/>
      <c r="BC31" s="101"/>
      <c r="BD31" s="162"/>
      <c r="BF31" s="661" t="s">
        <v>354</v>
      </c>
      <c r="BG31" s="663" t="s">
        <v>858</v>
      </c>
      <c r="BH31" s="32" t="s">
        <v>40</v>
      </c>
      <c r="BI31" s="39"/>
      <c r="BJ31" s="173" t="s">
        <v>844</v>
      </c>
      <c r="BK31" s="164"/>
    </row>
    <row r="32" spans="2:63">
      <c r="B32" s="662"/>
      <c r="C32" s="664"/>
      <c r="D32" s="31"/>
      <c r="E32" s="38"/>
      <c r="F32" s="92"/>
      <c r="G32" s="44"/>
      <c r="I32" s="662"/>
      <c r="J32" s="664"/>
      <c r="K32" s="31"/>
      <c r="L32" s="38"/>
      <c r="M32" s="92"/>
      <c r="N32" s="44"/>
      <c r="P32" s="662"/>
      <c r="Q32" s="664"/>
      <c r="R32" s="31"/>
      <c r="S32" s="38"/>
      <c r="T32" s="92"/>
      <c r="U32" s="44"/>
      <c r="W32" s="662"/>
      <c r="X32" s="664"/>
      <c r="Y32" s="31"/>
      <c r="Z32" s="38"/>
      <c r="AA32" s="92"/>
      <c r="AB32" s="44"/>
      <c r="AD32" s="662"/>
      <c r="AE32" s="664"/>
      <c r="AF32" s="31"/>
      <c r="AG32" s="38"/>
      <c r="AH32" s="102"/>
      <c r="AI32" s="44"/>
      <c r="AK32" s="662"/>
      <c r="AL32" s="664"/>
      <c r="AM32" s="31"/>
      <c r="AN32" s="38"/>
      <c r="AO32" s="102"/>
      <c r="AP32" s="44"/>
      <c r="AR32" s="662"/>
      <c r="AS32" s="664"/>
      <c r="AT32" s="31"/>
      <c r="AU32" s="38"/>
      <c r="AV32" s="102"/>
      <c r="AW32" s="44"/>
      <c r="AY32" s="662"/>
      <c r="AZ32" s="664"/>
      <c r="BA32" s="31"/>
      <c r="BB32" s="38"/>
      <c r="BC32" s="102"/>
      <c r="BD32" s="163"/>
      <c r="BF32" s="662"/>
      <c r="BG32" s="664"/>
      <c r="BH32" s="31"/>
      <c r="BI32" s="38"/>
      <c r="BJ32" s="174"/>
      <c r="BK32" s="163"/>
    </row>
    <row r="33" spans="2:63">
      <c r="B33" s="661"/>
      <c r="C33" s="663"/>
      <c r="D33" s="32"/>
      <c r="E33" s="39"/>
      <c r="F33" s="37"/>
      <c r="G33" s="45"/>
      <c r="I33" s="661"/>
      <c r="J33" s="663"/>
      <c r="K33" s="32"/>
      <c r="L33" s="39"/>
      <c r="M33" s="37"/>
      <c r="N33" s="45"/>
      <c r="P33" s="661"/>
      <c r="Q33" s="663"/>
      <c r="R33" s="32"/>
      <c r="S33" s="39"/>
      <c r="T33" s="37"/>
      <c r="U33" s="45"/>
      <c r="W33" s="661"/>
      <c r="X33" s="663"/>
      <c r="Y33" s="32"/>
      <c r="Z33" s="39"/>
      <c r="AA33" s="37"/>
      <c r="AB33" s="45"/>
      <c r="AD33" s="661"/>
      <c r="AE33" s="663"/>
      <c r="AF33" s="32"/>
      <c r="AG33" s="39"/>
      <c r="AH33" s="101"/>
      <c r="AI33" s="45"/>
      <c r="AK33" s="661"/>
      <c r="AL33" s="663"/>
      <c r="AM33" s="32"/>
      <c r="AN33" s="39"/>
      <c r="AO33" s="101"/>
      <c r="AP33" s="45"/>
      <c r="AR33" s="661"/>
      <c r="AS33" s="663"/>
      <c r="AT33" s="32"/>
      <c r="AU33" s="39"/>
      <c r="AV33" s="101"/>
      <c r="AW33" s="45"/>
      <c r="AY33" s="661"/>
      <c r="AZ33" s="663"/>
      <c r="BA33" s="32"/>
      <c r="BB33" s="39"/>
      <c r="BC33" s="173"/>
      <c r="BD33" s="164"/>
      <c r="BF33" s="661"/>
      <c r="BG33" s="663"/>
      <c r="BH33" s="32"/>
      <c r="BI33" s="39"/>
      <c r="BJ33" s="173"/>
      <c r="BK33" s="164"/>
    </row>
    <row r="34" spans="2:63">
      <c r="B34" s="662"/>
      <c r="C34" s="664"/>
      <c r="D34" s="31"/>
      <c r="E34" s="38"/>
      <c r="F34" s="92"/>
      <c r="G34" s="44"/>
      <c r="I34" s="662"/>
      <c r="J34" s="664"/>
      <c r="K34" s="31"/>
      <c r="L34" s="38"/>
      <c r="M34" s="92"/>
      <c r="N34" s="44"/>
      <c r="P34" s="662"/>
      <c r="Q34" s="664"/>
      <c r="R34" s="31"/>
      <c r="S34" s="38"/>
      <c r="T34" s="92"/>
      <c r="U34" s="44"/>
      <c r="W34" s="662"/>
      <c r="X34" s="664"/>
      <c r="Y34" s="31"/>
      <c r="Z34" s="38"/>
      <c r="AA34" s="92"/>
      <c r="AB34" s="44"/>
      <c r="AD34" s="662"/>
      <c r="AE34" s="664"/>
      <c r="AF34" s="31"/>
      <c r="AG34" s="38"/>
      <c r="AH34" s="102"/>
      <c r="AI34" s="44"/>
      <c r="AK34" s="662"/>
      <c r="AL34" s="664"/>
      <c r="AM34" s="31"/>
      <c r="AN34" s="38"/>
      <c r="AO34" s="102"/>
      <c r="AP34" s="44"/>
      <c r="AR34" s="662"/>
      <c r="AS34" s="664"/>
      <c r="AT34" s="31"/>
      <c r="AU34" s="38"/>
      <c r="AV34" s="102"/>
      <c r="AW34" s="44"/>
      <c r="AY34" s="662"/>
      <c r="AZ34" s="664"/>
      <c r="BA34" s="31"/>
      <c r="BB34" s="38"/>
      <c r="BC34" s="174"/>
      <c r="BD34" s="163"/>
      <c r="BF34" s="662"/>
      <c r="BG34" s="664"/>
      <c r="BH34" s="31"/>
      <c r="BI34" s="38"/>
      <c r="BJ34" s="174"/>
      <c r="BK34" s="163"/>
    </row>
    <row r="35" spans="2:63">
      <c r="B35" s="661"/>
      <c r="C35" s="663"/>
      <c r="D35" s="32"/>
      <c r="E35" s="39"/>
      <c r="F35" s="37"/>
      <c r="G35" s="45"/>
      <c r="I35" s="661"/>
      <c r="J35" s="663"/>
      <c r="K35" s="32"/>
      <c r="L35" s="39"/>
      <c r="M35" s="37"/>
      <c r="N35" s="45"/>
      <c r="P35" s="661"/>
      <c r="Q35" s="663"/>
      <c r="R35" s="32"/>
      <c r="S35" s="39"/>
      <c r="T35" s="37"/>
      <c r="U35" s="45"/>
      <c r="W35" s="661"/>
      <c r="X35" s="663"/>
      <c r="Y35" s="32"/>
      <c r="Z35" s="39"/>
      <c r="AA35" s="37"/>
      <c r="AB35" s="45"/>
      <c r="AD35" s="716"/>
      <c r="AE35" s="717"/>
      <c r="AF35" s="93"/>
      <c r="AG35" s="61"/>
      <c r="AH35" s="61"/>
      <c r="AI35" s="94"/>
      <c r="AK35" s="716"/>
      <c r="AL35" s="717"/>
      <c r="AM35" s="93"/>
      <c r="AN35" s="61"/>
      <c r="AO35" s="61"/>
      <c r="AP35" s="94"/>
      <c r="AR35" s="716"/>
      <c r="AS35" s="717"/>
      <c r="AT35" s="93"/>
      <c r="AU35" s="61"/>
      <c r="AV35" s="61"/>
      <c r="AW35" s="94"/>
      <c r="AY35" s="716"/>
      <c r="AZ35" s="717"/>
      <c r="BA35" s="93"/>
      <c r="BB35" s="61"/>
      <c r="BC35" s="61"/>
      <c r="BD35" s="94"/>
      <c r="BF35" s="661"/>
      <c r="BG35" s="663" t="s">
        <v>625</v>
      </c>
      <c r="BH35" s="32" t="s">
        <v>40</v>
      </c>
      <c r="BI35" s="39"/>
      <c r="BJ35" s="173"/>
      <c r="BK35" s="164"/>
    </row>
    <row r="36" spans="2:63">
      <c r="B36" s="662"/>
      <c r="C36" s="664"/>
      <c r="D36" s="31"/>
      <c r="E36" s="38"/>
      <c r="F36" s="92"/>
      <c r="G36" s="44"/>
      <c r="I36" s="662"/>
      <c r="J36" s="664"/>
      <c r="K36" s="31"/>
      <c r="L36" s="38"/>
      <c r="M36" s="92"/>
      <c r="N36" s="44"/>
      <c r="P36" s="662"/>
      <c r="Q36" s="664"/>
      <c r="R36" s="31"/>
      <c r="S36" s="38"/>
      <c r="T36" s="92"/>
      <c r="U36" s="44"/>
      <c r="W36" s="662"/>
      <c r="X36" s="664"/>
      <c r="Y36" s="31"/>
      <c r="Z36" s="38"/>
      <c r="AA36" s="92"/>
      <c r="AB36" s="44"/>
      <c r="AD36" s="711"/>
      <c r="AE36" s="713"/>
      <c r="AF36" s="95"/>
      <c r="AG36" s="62"/>
      <c r="AH36" s="62"/>
      <c r="AI36" s="96"/>
      <c r="AK36" s="711"/>
      <c r="AL36" s="713"/>
      <c r="AM36" s="95"/>
      <c r="AN36" s="62"/>
      <c r="AO36" s="62"/>
      <c r="AP36" s="96"/>
      <c r="AR36" s="711"/>
      <c r="AS36" s="713"/>
      <c r="AT36" s="95"/>
      <c r="AU36" s="62"/>
      <c r="AV36" s="62"/>
      <c r="AW36" s="96"/>
      <c r="AY36" s="711"/>
      <c r="AZ36" s="713"/>
      <c r="BA36" s="95"/>
      <c r="BB36" s="62"/>
      <c r="BC36" s="62"/>
      <c r="BD36" s="96"/>
      <c r="BF36" s="662"/>
      <c r="BG36" s="664"/>
      <c r="BH36" s="31"/>
      <c r="BI36" s="38"/>
      <c r="BJ36" s="174"/>
      <c r="BK36" s="163"/>
    </row>
    <row r="37" spans="2:63">
      <c r="B37" s="661"/>
      <c r="C37" s="663"/>
      <c r="D37" s="32"/>
      <c r="E37" s="39"/>
      <c r="F37" s="37"/>
      <c r="G37" s="45"/>
      <c r="I37" s="661"/>
      <c r="J37" s="663"/>
      <c r="K37" s="32"/>
      <c r="L37" s="39"/>
      <c r="M37" s="37"/>
      <c r="N37" s="45"/>
      <c r="P37" s="661"/>
      <c r="Q37" s="663"/>
      <c r="R37" s="32"/>
      <c r="S37" s="39"/>
      <c r="T37" s="37"/>
      <c r="U37" s="45"/>
      <c r="W37" s="661"/>
      <c r="X37" s="663"/>
      <c r="Y37" s="32"/>
      <c r="Z37" s="39"/>
      <c r="AA37" s="37"/>
      <c r="AB37" s="45"/>
      <c r="AD37" s="711"/>
      <c r="AE37" s="713"/>
      <c r="AF37" s="95"/>
      <c r="AG37" s="62"/>
      <c r="AH37" s="62"/>
      <c r="AI37" s="96"/>
      <c r="AK37" s="711"/>
      <c r="AL37" s="713"/>
      <c r="AM37" s="95"/>
      <c r="AN37" s="62"/>
      <c r="AO37" s="62"/>
      <c r="AP37" s="96"/>
      <c r="AR37" s="711"/>
      <c r="AS37" s="713"/>
      <c r="AT37" s="95"/>
      <c r="AU37" s="62"/>
      <c r="AV37" s="62"/>
      <c r="AW37" s="96"/>
      <c r="AY37" s="711"/>
      <c r="AZ37" s="713"/>
      <c r="BA37" s="95"/>
      <c r="BB37" s="62"/>
      <c r="BC37" s="62"/>
      <c r="BD37" s="96"/>
      <c r="BF37" s="711"/>
      <c r="BG37" s="713"/>
      <c r="BH37" s="95"/>
      <c r="BI37" s="62"/>
      <c r="BJ37" s="62"/>
      <c r="BK37" s="96"/>
    </row>
    <row r="38" spans="2:63">
      <c r="B38" s="662"/>
      <c r="C38" s="664"/>
      <c r="D38" s="31"/>
      <c r="E38" s="38"/>
      <c r="F38" s="92"/>
      <c r="G38" s="44"/>
      <c r="I38" s="662"/>
      <c r="J38" s="664"/>
      <c r="K38" s="31"/>
      <c r="L38" s="38"/>
      <c r="M38" s="92"/>
      <c r="N38" s="44"/>
      <c r="P38" s="662"/>
      <c r="Q38" s="664"/>
      <c r="R38" s="31"/>
      <c r="S38" s="38"/>
      <c r="T38" s="92"/>
      <c r="U38" s="44"/>
      <c r="W38" s="662"/>
      <c r="X38" s="664"/>
      <c r="Y38" s="31"/>
      <c r="Z38" s="38"/>
      <c r="AA38" s="92"/>
      <c r="AB38" s="44"/>
      <c r="AD38" s="711"/>
      <c r="AE38" s="713"/>
      <c r="AF38" s="95"/>
      <c r="AG38" s="62"/>
      <c r="AH38" s="62"/>
      <c r="AI38" s="96"/>
      <c r="AK38" s="711"/>
      <c r="AL38" s="713"/>
      <c r="AM38" s="95"/>
      <c r="AN38" s="62"/>
      <c r="AO38" s="62"/>
      <c r="AP38" s="96"/>
      <c r="AR38" s="711"/>
      <c r="AS38" s="713"/>
      <c r="AT38" s="95"/>
      <c r="AU38" s="62"/>
      <c r="AV38" s="62"/>
      <c r="AW38" s="96"/>
      <c r="AY38" s="711"/>
      <c r="AZ38" s="713"/>
      <c r="BA38" s="95"/>
      <c r="BB38" s="62"/>
      <c r="BC38" s="62"/>
      <c r="BD38" s="96"/>
      <c r="BF38" s="711"/>
      <c r="BG38" s="713"/>
      <c r="BH38" s="95"/>
      <c r="BI38" s="62"/>
      <c r="BJ38" s="62"/>
      <c r="BK38" s="96"/>
    </row>
    <row r="39" spans="2:63">
      <c r="B39" s="661"/>
      <c r="C39" s="663"/>
      <c r="D39" s="32"/>
      <c r="E39" s="39"/>
      <c r="F39" s="37"/>
      <c r="G39" s="45"/>
      <c r="I39" s="661"/>
      <c r="J39" s="663"/>
      <c r="K39" s="32"/>
      <c r="L39" s="39"/>
      <c r="M39" s="37"/>
      <c r="N39" s="45"/>
      <c r="P39" s="661"/>
      <c r="Q39" s="663"/>
      <c r="R39" s="32"/>
      <c r="S39" s="39"/>
      <c r="T39" s="37"/>
      <c r="U39" s="45"/>
      <c r="W39" s="661"/>
      <c r="X39" s="663"/>
      <c r="Y39" s="32"/>
      <c r="Z39" s="39"/>
      <c r="AA39" s="37"/>
      <c r="AB39" s="45"/>
      <c r="AD39" s="711"/>
      <c r="AE39" s="713"/>
      <c r="AF39" s="95"/>
      <c r="AG39" s="62"/>
      <c r="AH39" s="62"/>
      <c r="AI39" s="96"/>
      <c r="AK39" s="711"/>
      <c r="AL39" s="713"/>
      <c r="AM39" s="95"/>
      <c r="AN39" s="62"/>
      <c r="AO39" s="62"/>
      <c r="AP39" s="96"/>
      <c r="AR39" s="711"/>
      <c r="AS39" s="713"/>
      <c r="AT39" s="95"/>
      <c r="AU39" s="62"/>
      <c r="AV39" s="62"/>
      <c r="AW39" s="96"/>
      <c r="AY39" s="711"/>
      <c r="AZ39" s="713"/>
      <c r="BA39" s="95"/>
      <c r="BB39" s="62"/>
      <c r="BC39" s="62"/>
      <c r="BD39" s="96"/>
      <c r="BF39" s="711"/>
      <c r="BG39" s="713"/>
      <c r="BH39" s="95"/>
      <c r="BI39" s="62"/>
      <c r="BJ39" s="62"/>
      <c r="BK39" s="96"/>
    </row>
    <row r="40" spans="2:63">
      <c r="B40" s="662"/>
      <c r="C40" s="664"/>
      <c r="D40" s="31"/>
      <c r="E40" s="38"/>
      <c r="F40" s="92"/>
      <c r="G40" s="44"/>
      <c r="I40" s="662"/>
      <c r="J40" s="664"/>
      <c r="K40" s="31"/>
      <c r="L40" s="38"/>
      <c r="M40" s="92"/>
      <c r="N40" s="44"/>
      <c r="P40" s="662"/>
      <c r="Q40" s="664"/>
      <c r="R40" s="31"/>
      <c r="S40" s="38"/>
      <c r="T40" s="92"/>
      <c r="U40" s="44"/>
      <c r="W40" s="662"/>
      <c r="X40" s="664"/>
      <c r="Y40" s="31"/>
      <c r="Z40" s="38"/>
      <c r="AA40" s="92"/>
      <c r="AB40" s="44"/>
      <c r="AD40" s="711"/>
      <c r="AE40" s="713"/>
      <c r="AF40" s="95"/>
      <c r="AG40" s="62"/>
      <c r="AH40" s="62"/>
      <c r="AI40" s="96"/>
      <c r="AK40" s="711"/>
      <c r="AL40" s="713"/>
      <c r="AM40" s="95"/>
      <c r="AN40" s="62"/>
      <c r="AO40" s="62"/>
      <c r="AP40" s="96"/>
      <c r="AR40" s="711"/>
      <c r="AS40" s="713"/>
      <c r="AT40" s="95"/>
      <c r="AU40" s="62"/>
      <c r="AV40" s="62"/>
      <c r="AW40" s="96"/>
      <c r="AY40" s="711"/>
      <c r="AZ40" s="713"/>
      <c r="BA40" s="95"/>
      <c r="BB40" s="62"/>
      <c r="BC40" s="62"/>
      <c r="BD40" s="96"/>
      <c r="BF40" s="711"/>
      <c r="BG40" s="713"/>
      <c r="BH40" s="95"/>
      <c r="BI40" s="62"/>
      <c r="BJ40" s="62"/>
      <c r="BK40" s="96"/>
    </row>
    <row r="41" spans="2:63">
      <c r="B41" s="661"/>
      <c r="C41" s="663"/>
      <c r="D41" s="32"/>
      <c r="E41" s="39"/>
      <c r="F41" s="37"/>
      <c r="G41" s="45"/>
      <c r="I41" s="661"/>
      <c r="J41" s="663"/>
      <c r="K41" s="32"/>
      <c r="L41" s="39"/>
      <c r="M41" s="37"/>
      <c r="N41" s="45"/>
      <c r="P41" s="661"/>
      <c r="Q41" s="663"/>
      <c r="R41" s="32"/>
      <c r="S41" s="39"/>
      <c r="T41" s="37"/>
      <c r="U41" s="45"/>
      <c r="W41" s="661"/>
      <c r="X41" s="663"/>
      <c r="Y41" s="32"/>
      <c r="Z41" s="39"/>
      <c r="AA41" s="37"/>
      <c r="AB41" s="45"/>
      <c r="AD41" s="711"/>
      <c r="AE41" s="713"/>
      <c r="AF41" s="95"/>
      <c r="AG41" s="62"/>
      <c r="AH41" s="62"/>
      <c r="AI41" s="96"/>
      <c r="AK41" s="711"/>
      <c r="AL41" s="713"/>
      <c r="AM41" s="95"/>
      <c r="AN41" s="62"/>
      <c r="AO41" s="62"/>
      <c r="AP41" s="96"/>
      <c r="AR41" s="711"/>
      <c r="AS41" s="713"/>
      <c r="AT41" s="95"/>
      <c r="AU41" s="62"/>
      <c r="AV41" s="62"/>
      <c r="AW41" s="96"/>
      <c r="AY41" s="711"/>
      <c r="AZ41" s="713"/>
      <c r="BA41" s="95"/>
      <c r="BB41" s="62"/>
      <c r="BC41" s="62"/>
      <c r="BD41" s="96"/>
      <c r="BF41" s="711"/>
      <c r="BG41" s="713"/>
      <c r="BH41" s="95"/>
      <c r="BI41" s="62"/>
      <c r="BJ41" s="62"/>
      <c r="BK41" s="96"/>
    </row>
    <row r="42" spans="2:63">
      <c r="B42" s="662"/>
      <c r="C42" s="664"/>
      <c r="D42" s="31"/>
      <c r="E42" s="38"/>
      <c r="F42" s="92"/>
      <c r="G42" s="44"/>
      <c r="I42" s="662"/>
      <c r="J42" s="664"/>
      <c r="K42" s="31"/>
      <c r="L42" s="38"/>
      <c r="M42" s="92"/>
      <c r="N42" s="44"/>
      <c r="P42" s="662"/>
      <c r="Q42" s="664"/>
      <c r="R42" s="31"/>
      <c r="S42" s="38"/>
      <c r="T42" s="92"/>
      <c r="U42" s="44"/>
      <c r="W42" s="662"/>
      <c r="X42" s="664"/>
      <c r="Y42" s="31"/>
      <c r="Z42" s="38"/>
      <c r="AA42" s="92"/>
      <c r="AB42" s="44"/>
      <c r="AD42" s="711"/>
      <c r="AE42" s="713"/>
      <c r="AF42" s="95"/>
      <c r="AG42" s="62"/>
      <c r="AH42" s="62"/>
      <c r="AI42" s="96"/>
      <c r="AK42" s="711"/>
      <c r="AL42" s="713"/>
      <c r="AM42" s="95"/>
      <c r="AN42" s="62"/>
      <c r="AO42" s="62"/>
      <c r="AP42" s="96"/>
      <c r="AR42" s="711"/>
      <c r="AS42" s="713"/>
      <c r="AT42" s="95"/>
      <c r="AU42" s="62"/>
      <c r="AV42" s="62"/>
      <c r="AW42" s="96"/>
      <c r="AY42" s="711"/>
      <c r="AZ42" s="713"/>
      <c r="BA42" s="95"/>
      <c r="BB42" s="62"/>
      <c r="BC42" s="62"/>
      <c r="BD42" s="96"/>
      <c r="BF42" s="711"/>
      <c r="BG42" s="713"/>
      <c r="BH42" s="95"/>
      <c r="BI42" s="62"/>
      <c r="BJ42" s="62"/>
      <c r="BK42" s="96"/>
    </row>
    <row r="43" spans="2:63">
      <c r="B43" s="661"/>
      <c r="C43" s="663"/>
      <c r="D43" s="32"/>
      <c r="E43" s="39"/>
      <c r="F43" s="37"/>
      <c r="G43" s="45"/>
      <c r="I43" s="661"/>
      <c r="J43" s="663"/>
      <c r="K43" s="32"/>
      <c r="L43" s="39"/>
      <c r="M43" s="37"/>
      <c r="N43" s="45"/>
      <c r="P43" s="661"/>
      <c r="Q43" s="663"/>
      <c r="R43" s="32"/>
      <c r="S43" s="39"/>
      <c r="T43" s="37"/>
      <c r="U43" s="45"/>
      <c r="W43" s="661"/>
      <c r="X43" s="663"/>
      <c r="Y43" s="32"/>
      <c r="Z43" s="39"/>
      <c r="AA43" s="37"/>
      <c r="AB43" s="45"/>
      <c r="AD43" s="711"/>
      <c r="AE43" s="713"/>
      <c r="AF43" s="95"/>
      <c r="AG43" s="62"/>
      <c r="AH43" s="62"/>
      <c r="AI43" s="96"/>
      <c r="AK43" s="711"/>
      <c r="AL43" s="713"/>
      <c r="AM43" s="95"/>
      <c r="AN43" s="62"/>
      <c r="AO43" s="62"/>
      <c r="AP43" s="96"/>
      <c r="AR43" s="711"/>
      <c r="AS43" s="713"/>
      <c r="AT43" s="95"/>
      <c r="AU43" s="62"/>
      <c r="AV43" s="62"/>
      <c r="AW43" s="96"/>
      <c r="AY43" s="711"/>
      <c r="AZ43" s="713"/>
      <c r="BA43" s="95"/>
      <c r="BB43" s="62"/>
      <c r="BC43" s="62"/>
      <c r="BD43" s="96"/>
      <c r="BF43" s="711"/>
      <c r="BG43" s="713"/>
      <c r="BH43" s="95"/>
      <c r="BI43" s="62"/>
      <c r="BJ43" s="62"/>
      <c r="BK43" s="96"/>
    </row>
    <row r="44" spans="2:63">
      <c r="B44" s="662"/>
      <c r="C44" s="664"/>
      <c r="D44" s="31"/>
      <c r="E44" s="38"/>
      <c r="F44" s="92"/>
      <c r="G44" s="44"/>
      <c r="I44" s="662"/>
      <c r="J44" s="664"/>
      <c r="K44" s="31"/>
      <c r="L44" s="38"/>
      <c r="M44" s="92"/>
      <c r="N44" s="44"/>
      <c r="P44" s="662"/>
      <c r="Q44" s="664"/>
      <c r="R44" s="31"/>
      <c r="S44" s="38"/>
      <c r="T44" s="92"/>
      <c r="U44" s="44"/>
      <c r="W44" s="662"/>
      <c r="X44" s="664"/>
      <c r="Y44" s="31"/>
      <c r="Z44" s="38"/>
      <c r="AA44" s="92"/>
      <c r="AB44" s="44"/>
      <c r="AD44" s="711"/>
      <c r="AE44" s="713"/>
      <c r="AF44" s="95"/>
      <c r="AG44" s="62"/>
      <c r="AH44" s="62"/>
      <c r="AI44" s="96"/>
      <c r="AK44" s="711"/>
      <c r="AL44" s="713"/>
      <c r="AM44" s="95"/>
      <c r="AN44" s="62"/>
      <c r="AO44" s="62"/>
      <c r="AP44" s="96"/>
      <c r="AR44" s="711"/>
      <c r="AS44" s="713"/>
      <c r="AT44" s="95"/>
      <c r="AU44" s="62"/>
      <c r="AV44" s="62"/>
      <c r="AW44" s="96"/>
      <c r="AY44" s="711"/>
      <c r="AZ44" s="713"/>
      <c r="BA44" s="95"/>
      <c r="BB44" s="62"/>
      <c r="BC44" s="62"/>
      <c r="BD44" s="96"/>
      <c r="BF44" s="711"/>
      <c r="BG44" s="713"/>
      <c r="BH44" s="95"/>
      <c r="BI44" s="62"/>
      <c r="BJ44" s="62"/>
      <c r="BK44" s="96"/>
    </row>
    <row r="45" spans="2:63">
      <c r="B45" s="661"/>
      <c r="C45" s="663"/>
      <c r="D45" s="32"/>
      <c r="E45" s="39"/>
      <c r="F45" s="37"/>
      <c r="G45" s="45"/>
      <c r="I45" s="661"/>
      <c r="J45" s="663"/>
      <c r="K45" s="32"/>
      <c r="L45" s="39"/>
      <c r="M45" s="37"/>
      <c r="N45" s="45"/>
      <c r="P45" s="661"/>
      <c r="Q45" s="663"/>
      <c r="R45" s="32"/>
      <c r="S45" s="39"/>
      <c r="T45" s="37"/>
      <c r="U45" s="45"/>
      <c r="W45" s="661"/>
      <c r="X45" s="663"/>
      <c r="Y45" s="32"/>
      <c r="Z45" s="39"/>
      <c r="AA45" s="37"/>
      <c r="AB45" s="45"/>
      <c r="AD45" s="711"/>
      <c r="AE45" s="713"/>
      <c r="AF45" s="95"/>
      <c r="AG45" s="62"/>
      <c r="AH45" s="62"/>
      <c r="AI45" s="96"/>
      <c r="AK45" s="711"/>
      <c r="AL45" s="713"/>
      <c r="AM45" s="95"/>
      <c r="AN45" s="62"/>
      <c r="AO45" s="62"/>
      <c r="AP45" s="96"/>
      <c r="AR45" s="711"/>
      <c r="AS45" s="713"/>
      <c r="AT45" s="95"/>
      <c r="AU45" s="62"/>
      <c r="AV45" s="62"/>
      <c r="AW45" s="96"/>
      <c r="AY45" s="711"/>
      <c r="AZ45" s="713"/>
      <c r="BA45" s="95"/>
      <c r="BB45" s="62"/>
      <c r="BC45" s="62"/>
      <c r="BD45" s="96"/>
      <c r="BF45" s="711"/>
      <c r="BG45" s="713"/>
      <c r="BH45" s="95"/>
      <c r="BI45" s="62"/>
      <c r="BJ45" s="62"/>
      <c r="BK45" s="96"/>
    </row>
    <row r="46" spans="2:63">
      <c r="B46" s="662"/>
      <c r="C46" s="664"/>
      <c r="D46" s="31"/>
      <c r="E46" s="38"/>
      <c r="F46" s="92"/>
      <c r="G46" s="44"/>
      <c r="I46" s="662"/>
      <c r="J46" s="664"/>
      <c r="K46" s="31"/>
      <c r="L46" s="38"/>
      <c r="M46" s="92"/>
      <c r="N46" s="44"/>
      <c r="P46" s="662"/>
      <c r="Q46" s="664"/>
      <c r="R46" s="31"/>
      <c r="S46" s="38"/>
      <c r="T46" s="92"/>
      <c r="U46" s="44"/>
      <c r="W46" s="662"/>
      <c r="X46" s="664"/>
      <c r="Y46" s="31"/>
      <c r="Z46" s="38"/>
      <c r="AA46" s="92"/>
      <c r="AB46" s="44"/>
      <c r="AD46" s="711"/>
      <c r="AE46" s="713"/>
      <c r="AF46" s="95"/>
      <c r="AG46" s="62"/>
      <c r="AH46" s="62"/>
      <c r="AI46" s="96"/>
      <c r="AK46" s="711"/>
      <c r="AL46" s="713"/>
      <c r="AM46" s="95"/>
      <c r="AN46" s="62"/>
      <c r="AO46" s="62"/>
      <c r="AP46" s="96"/>
      <c r="AR46" s="711"/>
      <c r="AS46" s="713"/>
      <c r="AT46" s="95"/>
      <c r="AU46" s="62"/>
      <c r="AV46" s="62"/>
      <c r="AW46" s="96"/>
      <c r="AY46" s="711"/>
      <c r="AZ46" s="713"/>
      <c r="BA46" s="95"/>
      <c r="BB46" s="62"/>
      <c r="BC46" s="62"/>
      <c r="BD46" s="96"/>
      <c r="BF46" s="711"/>
      <c r="BG46" s="713"/>
      <c r="BH46" s="95"/>
      <c r="BI46" s="62"/>
      <c r="BJ46" s="62"/>
      <c r="BK46" s="96"/>
    </row>
    <row r="47" spans="2:63">
      <c r="B47" s="671"/>
      <c r="C47" s="671"/>
      <c r="D47" s="22"/>
      <c r="E47" s="39"/>
      <c r="F47" s="37"/>
      <c r="G47" s="22"/>
      <c r="I47" s="671"/>
      <c r="J47" s="671"/>
      <c r="K47" s="22"/>
      <c r="L47" s="39"/>
      <c r="M47" s="37"/>
      <c r="N47" s="22"/>
      <c r="P47" s="671"/>
      <c r="Q47" s="671"/>
      <c r="R47" s="22"/>
      <c r="S47" s="39"/>
      <c r="T47" s="37"/>
      <c r="U47" s="22"/>
      <c r="W47" s="671"/>
      <c r="X47" s="671"/>
      <c r="Y47" s="22"/>
      <c r="Z47" s="39"/>
      <c r="AA47" s="37"/>
      <c r="AB47" s="22"/>
      <c r="AD47" s="711"/>
      <c r="AE47" s="714"/>
      <c r="AF47" s="97"/>
      <c r="AG47" s="62"/>
      <c r="AH47" s="62"/>
      <c r="AI47" s="98"/>
      <c r="AK47" s="711"/>
      <c r="AL47" s="714"/>
      <c r="AM47" s="97"/>
      <c r="AN47" s="62"/>
      <c r="AO47" s="62"/>
      <c r="AP47" s="98"/>
      <c r="AR47" s="711"/>
      <c r="AS47" s="714"/>
      <c r="AT47" s="97"/>
      <c r="AU47" s="62"/>
      <c r="AV47" s="62"/>
      <c r="AW47" s="98"/>
      <c r="AY47" s="711"/>
      <c r="AZ47" s="714"/>
      <c r="BA47" s="97"/>
      <c r="BB47" s="62"/>
      <c r="BC47" s="62"/>
      <c r="BD47" s="98"/>
      <c r="BF47" s="711"/>
      <c r="BG47" s="714"/>
      <c r="BH47" s="97"/>
      <c r="BI47" s="62"/>
      <c r="BJ47" s="62"/>
      <c r="BK47" s="98"/>
    </row>
    <row r="48" spans="2:63">
      <c r="B48" s="662"/>
      <c r="C48" s="662"/>
      <c r="D48" s="12"/>
      <c r="E48" s="38"/>
      <c r="F48" s="92"/>
      <c r="G48" s="12"/>
      <c r="I48" s="662"/>
      <c r="J48" s="662"/>
      <c r="K48" s="12"/>
      <c r="L48" s="38"/>
      <c r="M48" s="92"/>
      <c r="N48" s="12"/>
      <c r="P48" s="662"/>
      <c r="Q48" s="662"/>
      <c r="R48" s="12"/>
      <c r="S48" s="38"/>
      <c r="T48" s="92"/>
      <c r="U48" s="12"/>
      <c r="W48" s="662"/>
      <c r="X48" s="662"/>
      <c r="Y48" s="12"/>
      <c r="Z48" s="38"/>
      <c r="AA48" s="92"/>
      <c r="AB48" s="12"/>
      <c r="AD48" s="712"/>
      <c r="AE48" s="715"/>
      <c r="AF48" s="99"/>
      <c r="AG48" s="63"/>
      <c r="AH48" s="63"/>
      <c r="AI48" s="100"/>
      <c r="AK48" s="712"/>
      <c r="AL48" s="715"/>
      <c r="AM48" s="99"/>
      <c r="AN48" s="63"/>
      <c r="AO48" s="63"/>
      <c r="AP48" s="100"/>
      <c r="AR48" s="712"/>
      <c r="AS48" s="715"/>
      <c r="AT48" s="99"/>
      <c r="AU48" s="63"/>
      <c r="AV48" s="63"/>
      <c r="AW48" s="100"/>
      <c r="AY48" s="712"/>
      <c r="AZ48" s="715"/>
      <c r="BA48" s="99"/>
      <c r="BB48" s="63"/>
      <c r="BC48" s="63"/>
      <c r="BD48" s="100"/>
      <c r="BF48" s="712"/>
      <c r="BG48" s="715"/>
      <c r="BH48" s="99"/>
      <c r="BI48" s="63"/>
      <c r="BJ48" s="63"/>
      <c r="BK48" s="100"/>
    </row>
    <row r="49" spans="2:7">
      <c r="B49" s="14"/>
      <c r="C49" s="14"/>
      <c r="D49" s="14"/>
      <c r="E49" s="15"/>
      <c r="F49" s="15"/>
      <c r="G49" s="14"/>
    </row>
  </sheetData>
  <mergeCells count="423">
    <mergeCell ref="U2:U3"/>
    <mergeCell ref="W2:X3"/>
    <mergeCell ref="Z2:AA3"/>
    <mergeCell ref="AB2:AB3"/>
    <mergeCell ref="B2:C3"/>
    <mergeCell ref="E2:F3"/>
    <mergeCell ref="G2:G3"/>
    <mergeCell ref="I2:J3"/>
    <mergeCell ref="L2:M3"/>
    <mergeCell ref="N2:N3"/>
    <mergeCell ref="BF2:BG3"/>
    <mergeCell ref="BI2:BJ3"/>
    <mergeCell ref="BK2:BK3"/>
    <mergeCell ref="B5:B6"/>
    <mergeCell ref="C5:C6"/>
    <mergeCell ref="I5:I6"/>
    <mergeCell ref="J5:J6"/>
    <mergeCell ref="P5:P6"/>
    <mergeCell ref="Q5:Q6"/>
    <mergeCell ref="W5:W6"/>
    <mergeCell ref="AR2:AS3"/>
    <mergeCell ref="AU2:AV3"/>
    <mergeCell ref="AW2:AW3"/>
    <mergeCell ref="AY2:AZ3"/>
    <mergeCell ref="BB2:BC3"/>
    <mergeCell ref="BD2:BD3"/>
    <mergeCell ref="AD2:AE3"/>
    <mergeCell ref="AG2:AH3"/>
    <mergeCell ref="AI2:AI3"/>
    <mergeCell ref="AK2:AL3"/>
    <mergeCell ref="AN2:AO3"/>
    <mergeCell ref="AP2:AP3"/>
    <mergeCell ref="P2:Q3"/>
    <mergeCell ref="S2:T3"/>
    <mergeCell ref="AS5:AS6"/>
    <mergeCell ref="AY5:AY6"/>
    <mergeCell ref="AZ5:AZ6"/>
    <mergeCell ref="BF5:BF6"/>
    <mergeCell ref="BG5:BG6"/>
    <mergeCell ref="B7:B8"/>
    <mergeCell ref="C7:C8"/>
    <mergeCell ref="I7:I8"/>
    <mergeCell ref="J7:J8"/>
    <mergeCell ref="P7:P8"/>
    <mergeCell ref="X5:X6"/>
    <mergeCell ref="AD5:AD6"/>
    <mergeCell ref="AE5:AE6"/>
    <mergeCell ref="AK5:AK6"/>
    <mergeCell ref="AL5:AL6"/>
    <mergeCell ref="AR5:AR6"/>
    <mergeCell ref="BG7:BG8"/>
    <mergeCell ref="AL7:AL8"/>
    <mergeCell ref="AR7:AR8"/>
    <mergeCell ref="AS7:AS8"/>
    <mergeCell ref="AY7:AY8"/>
    <mergeCell ref="AZ7:AZ8"/>
    <mergeCell ref="BF7:BF8"/>
    <mergeCell ref="Q7:Q8"/>
    <mergeCell ref="B9:B10"/>
    <mergeCell ref="C9:C10"/>
    <mergeCell ref="I9:I10"/>
    <mergeCell ref="J9:J10"/>
    <mergeCell ref="P9:P10"/>
    <mergeCell ref="Q9:Q10"/>
    <mergeCell ref="W9:W10"/>
    <mergeCell ref="X9:X10"/>
    <mergeCell ref="AD9:AD10"/>
    <mergeCell ref="W7:W8"/>
    <mergeCell ref="X7:X8"/>
    <mergeCell ref="AD7:AD8"/>
    <mergeCell ref="AE7:AE8"/>
    <mergeCell ref="AK7:AK8"/>
    <mergeCell ref="AZ9:AZ10"/>
    <mergeCell ref="BF9:BF10"/>
    <mergeCell ref="BG9:BG10"/>
    <mergeCell ref="B11:B12"/>
    <mergeCell ref="C11:C12"/>
    <mergeCell ref="I11:I12"/>
    <mergeCell ref="J11:J12"/>
    <mergeCell ref="P11:P12"/>
    <mergeCell ref="Q11:Q12"/>
    <mergeCell ref="W11:W12"/>
    <mergeCell ref="AE9:AE10"/>
    <mergeCell ref="AK9:AK10"/>
    <mergeCell ref="AL9:AL10"/>
    <mergeCell ref="AR9:AR10"/>
    <mergeCell ref="AS9:AS10"/>
    <mergeCell ref="AY9:AY10"/>
    <mergeCell ref="AS11:AS12"/>
    <mergeCell ref="AY11:AY12"/>
    <mergeCell ref="AZ11:AZ12"/>
    <mergeCell ref="BF11:BF12"/>
    <mergeCell ref="BG11:BG12"/>
    <mergeCell ref="B13:B14"/>
    <mergeCell ref="C13:C14"/>
    <mergeCell ref="I13:I14"/>
    <mergeCell ref="J13:J14"/>
    <mergeCell ref="P13:P14"/>
    <mergeCell ref="X11:X12"/>
    <mergeCell ref="AD11:AD12"/>
    <mergeCell ref="AE11:AE12"/>
    <mergeCell ref="AK11:AK12"/>
    <mergeCell ref="AL11:AL12"/>
    <mergeCell ref="AR11:AR12"/>
    <mergeCell ref="BG13:BG14"/>
    <mergeCell ref="AL13:AL14"/>
    <mergeCell ref="AR13:AR14"/>
    <mergeCell ref="AS13:AS14"/>
    <mergeCell ref="AY13:AY14"/>
    <mergeCell ref="AZ13:AZ14"/>
    <mergeCell ref="BF13:BF14"/>
    <mergeCell ref="Q13:Q14"/>
    <mergeCell ref="W13:W14"/>
    <mergeCell ref="X13:X14"/>
    <mergeCell ref="AD13:AD14"/>
    <mergeCell ref="B15:B16"/>
    <mergeCell ref="C15:C16"/>
    <mergeCell ref="I15:I16"/>
    <mergeCell ref="J15:J16"/>
    <mergeCell ref="P15:P16"/>
    <mergeCell ref="Q15:Q16"/>
    <mergeCell ref="W15:W16"/>
    <mergeCell ref="X15:X16"/>
    <mergeCell ref="AD15:AD16"/>
    <mergeCell ref="AE13:AE14"/>
    <mergeCell ref="AK13:AK14"/>
    <mergeCell ref="AZ15:AZ16"/>
    <mergeCell ref="BF15:BF16"/>
    <mergeCell ref="BG15:BG16"/>
    <mergeCell ref="B17:B18"/>
    <mergeCell ref="C17:C18"/>
    <mergeCell ref="I17:I18"/>
    <mergeCell ref="J17:J18"/>
    <mergeCell ref="P17:P18"/>
    <mergeCell ref="Q17:Q18"/>
    <mergeCell ref="W17:W18"/>
    <mergeCell ref="AE15:AE16"/>
    <mergeCell ref="AK15:AK16"/>
    <mergeCell ref="AL15:AL16"/>
    <mergeCell ref="AR15:AR16"/>
    <mergeCell ref="AS15:AS16"/>
    <mergeCell ref="AY15:AY16"/>
    <mergeCell ref="AS17:AS18"/>
    <mergeCell ref="AY17:AY18"/>
    <mergeCell ref="AZ17:AZ18"/>
    <mergeCell ref="BF17:BF18"/>
    <mergeCell ref="BG17:BG18"/>
    <mergeCell ref="AL17:AL18"/>
    <mergeCell ref="B19:B20"/>
    <mergeCell ref="C19:C20"/>
    <mergeCell ref="I19:I20"/>
    <mergeCell ref="J19:J20"/>
    <mergeCell ref="P19:P20"/>
    <mergeCell ref="X17:X18"/>
    <mergeCell ref="AD17:AD18"/>
    <mergeCell ref="AE17:AE18"/>
    <mergeCell ref="AK17:AK18"/>
    <mergeCell ref="AR17:AR18"/>
    <mergeCell ref="BG19:BG20"/>
    <mergeCell ref="B21:B22"/>
    <mergeCell ref="C21:C22"/>
    <mergeCell ref="I21:I22"/>
    <mergeCell ref="J21:J22"/>
    <mergeCell ref="P21:P22"/>
    <mergeCell ref="Q21:Q22"/>
    <mergeCell ref="W21:W22"/>
    <mergeCell ref="X21:X22"/>
    <mergeCell ref="AD21:AD22"/>
    <mergeCell ref="AL19:AL20"/>
    <mergeCell ref="AR19:AR20"/>
    <mergeCell ref="AS19:AS20"/>
    <mergeCell ref="AY19:AY20"/>
    <mergeCell ref="AZ19:AZ20"/>
    <mergeCell ref="BF19:BF20"/>
    <mergeCell ref="Q19:Q20"/>
    <mergeCell ref="W19:W20"/>
    <mergeCell ref="X19:X20"/>
    <mergeCell ref="AD19:AD20"/>
    <mergeCell ref="AE19:AE20"/>
    <mergeCell ref="AK19:AK20"/>
    <mergeCell ref="AZ21:AZ22"/>
    <mergeCell ref="BF21:BF22"/>
    <mergeCell ref="BG21:BG22"/>
    <mergeCell ref="B23:B24"/>
    <mergeCell ref="C23:C24"/>
    <mergeCell ref="I23:I24"/>
    <mergeCell ref="J23:J24"/>
    <mergeCell ref="P23:P24"/>
    <mergeCell ref="Q23:Q24"/>
    <mergeCell ref="W23:W24"/>
    <mergeCell ref="AE21:AE22"/>
    <mergeCell ref="AK21:AK22"/>
    <mergeCell ref="AL21:AL22"/>
    <mergeCell ref="AR21:AR22"/>
    <mergeCell ref="AS21:AS22"/>
    <mergeCell ref="AY21:AY22"/>
    <mergeCell ref="AS23:AS24"/>
    <mergeCell ref="AY23:AY24"/>
    <mergeCell ref="AZ23:AZ24"/>
    <mergeCell ref="BF23:BF24"/>
    <mergeCell ref="BG23:BG24"/>
    <mergeCell ref="AL23:AL24"/>
    <mergeCell ref="AR23:AR24"/>
    <mergeCell ref="B25:B26"/>
    <mergeCell ref="C25:C26"/>
    <mergeCell ref="I25:I26"/>
    <mergeCell ref="J25:J26"/>
    <mergeCell ref="P25:P26"/>
    <mergeCell ref="X23:X24"/>
    <mergeCell ref="AD23:AD24"/>
    <mergeCell ref="AE23:AE24"/>
    <mergeCell ref="AK23:AK24"/>
    <mergeCell ref="BG25:BG26"/>
    <mergeCell ref="B27:B28"/>
    <mergeCell ref="C27:C28"/>
    <mergeCell ref="I27:I28"/>
    <mergeCell ref="J27:J28"/>
    <mergeCell ref="P27:P28"/>
    <mergeCell ref="Q27:Q28"/>
    <mergeCell ref="W27:W28"/>
    <mergeCell ref="X27:X28"/>
    <mergeCell ref="AD27:AD28"/>
    <mergeCell ref="AL25:AL26"/>
    <mergeCell ref="AR25:AR26"/>
    <mergeCell ref="AS25:AS26"/>
    <mergeCell ref="AY25:AY26"/>
    <mergeCell ref="AZ25:AZ26"/>
    <mergeCell ref="BF25:BF26"/>
    <mergeCell ref="Q25:Q26"/>
    <mergeCell ref="W25:W26"/>
    <mergeCell ref="X25:X26"/>
    <mergeCell ref="AD25:AD26"/>
    <mergeCell ref="AE25:AE26"/>
    <mergeCell ref="AK25:AK26"/>
    <mergeCell ref="AZ27:AZ28"/>
    <mergeCell ref="BF27:BF28"/>
    <mergeCell ref="BG27:BG28"/>
    <mergeCell ref="B29:B30"/>
    <mergeCell ref="C29:C30"/>
    <mergeCell ref="I29:I30"/>
    <mergeCell ref="J29:J30"/>
    <mergeCell ref="P29:P30"/>
    <mergeCell ref="Q29:Q30"/>
    <mergeCell ref="W29:W30"/>
    <mergeCell ref="AE27:AE28"/>
    <mergeCell ref="AK27:AK28"/>
    <mergeCell ref="AL27:AL28"/>
    <mergeCell ref="AR27:AR28"/>
    <mergeCell ref="AS27:AS28"/>
    <mergeCell ref="AY27:AY28"/>
    <mergeCell ref="AS29:AS30"/>
    <mergeCell ref="AY29:AY30"/>
    <mergeCell ref="AZ29:AZ30"/>
    <mergeCell ref="BF29:BF30"/>
    <mergeCell ref="BG29:BG30"/>
    <mergeCell ref="AL29:AL30"/>
    <mergeCell ref="AR29:AR30"/>
    <mergeCell ref="B31:B32"/>
    <mergeCell ref="C31:C32"/>
    <mergeCell ref="I31:I32"/>
    <mergeCell ref="J31:J32"/>
    <mergeCell ref="P31:P32"/>
    <mergeCell ref="X29:X30"/>
    <mergeCell ref="AD29:AD30"/>
    <mergeCell ref="AE29:AE30"/>
    <mergeCell ref="AK29:AK30"/>
    <mergeCell ref="BG31:BG32"/>
    <mergeCell ref="B33:B34"/>
    <mergeCell ref="C33:C34"/>
    <mergeCell ref="I33:I34"/>
    <mergeCell ref="J33:J34"/>
    <mergeCell ref="P33:P34"/>
    <mergeCell ref="Q33:Q34"/>
    <mergeCell ref="W33:W34"/>
    <mergeCell ref="X33:X34"/>
    <mergeCell ref="AD33:AD34"/>
    <mergeCell ref="AL31:AL32"/>
    <mergeCell ref="AR31:AR32"/>
    <mergeCell ref="AS31:AS32"/>
    <mergeCell ref="AY31:AY32"/>
    <mergeCell ref="AZ31:AZ32"/>
    <mergeCell ref="BF31:BF32"/>
    <mergeCell ref="Q31:Q32"/>
    <mergeCell ref="W31:W32"/>
    <mergeCell ref="X31:X32"/>
    <mergeCell ref="AD31:AD32"/>
    <mergeCell ref="AE31:AE32"/>
    <mergeCell ref="AK31:AK32"/>
    <mergeCell ref="AZ33:AZ34"/>
    <mergeCell ref="BF33:BF34"/>
    <mergeCell ref="BG33:BG34"/>
    <mergeCell ref="B35:B36"/>
    <mergeCell ref="C35:C36"/>
    <mergeCell ref="I35:I36"/>
    <mergeCell ref="J35:J36"/>
    <mergeCell ref="P35:P36"/>
    <mergeCell ref="Q35:Q36"/>
    <mergeCell ref="W35:W36"/>
    <mergeCell ref="AE33:AE34"/>
    <mergeCell ref="AK33:AK34"/>
    <mergeCell ref="AL33:AL34"/>
    <mergeCell ref="AR33:AR34"/>
    <mergeCell ref="AS33:AS34"/>
    <mergeCell ref="AY33:AY34"/>
    <mergeCell ref="AS35:AS36"/>
    <mergeCell ref="AY35:AY36"/>
    <mergeCell ref="AZ35:AZ36"/>
    <mergeCell ref="BF35:BF36"/>
    <mergeCell ref="BG35:BG36"/>
    <mergeCell ref="AL35:AL36"/>
    <mergeCell ref="AR35:AR36"/>
    <mergeCell ref="B37:B38"/>
    <mergeCell ref="C37:C38"/>
    <mergeCell ref="I37:I38"/>
    <mergeCell ref="J37:J38"/>
    <mergeCell ref="P37:P38"/>
    <mergeCell ref="X35:X36"/>
    <mergeCell ref="AD35:AD36"/>
    <mergeCell ref="AE35:AE36"/>
    <mergeCell ref="AK35:AK36"/>
    <mergeCell ref="BG37:BG38"/>
    <mergeCell ref="B39:B40"/>
    <mergeCell ref="C39:C40"/>
    <mergeCell ref="I39:I40"/>
    <mergeCell ref="J39:J40"/>
    <mergeCell ref="P39:P40"/>
    <mergeCell ref="Q39:Q40"/>
    <mergeCell ref="W39:W40"/>
    <mergeCell ref="X39:X40"/>
    <mergeCell ref="AD39:AD40"/>
    <mergeCell ref="AL37:AL38"/>
    <mergeCell ref="AR37:AR38"/>
    <mergeCell ref="AS37:AS38"/>
    <mergeCell ref="AY37:AY38"/>
    <mergeCell ref="AZ37:AZ38"/>
    <mergeCell ref="BF37:BF38"/>
    <mergeCell ref="Q37:Q38"/>
    <mergeCell ref="W37:W38"/>
    <mergeCell ref="X37:X38"/>
    <mergeCell ref="AD37:AD38"/>
    <mergeCell ref="AE37:AE38"/>
    <mergeCell ref="AK37:AK38"/>
    <mergeCell ref="AZ39:AZ40"/>
    <mergeCell ref="BF39:BF40"/>
    <mergeCell ref="BG39:BG40"/>
    <mergeCell ref="B41:B42"/>
    <mergeCell ref="C41:C42"/>
    <mergeCell ref="I41:I42"/>
    <mergeCell ref="J41:J42"/>
    <mergeCell ref="P41:P42"/>
    <mergeCell ref="Q41:Q42"/>
    <mergeCell ref="W41:W42"/>
    <mergeCell ref="AE39:AE40"/>
    <mergeCell ref="AK39:AK40"/>
    <mergeCell ref="AL39:AL40"/>
    <mergeCell ref="AR39:AR40"/>
    <mergeCell ref="AS39:AS40"/>
    <mergeCell ref="AY39:AY40"/>
    <mergeCell ref="AS41:AS42"/>
    <mergeCell ref="AY41:AY42"/>
    <mergeCell ref="AZ41:AZ42"/>
    <mergeCell ref="BF41:BF42"/>
    <mergeCell ref="BG41:BG42"/>
    <mergeCell ref="AL41:AL42"/>
    <mergeCell ref="AR41:AR42"/>
    <mergeCell ref="BF45:BF46"/>
    <mergeCell ref="B43:B44"/>
    <mergeCell ref="C43:C44"/>
    <mergeCell ref="I43:I44"/>
    <mergeCell ref="J43:J44"/>
    <mergeCell ref="P43:P44"/>
    <mergeCell ref="X41:X42"/>
    <mergeCell ref="AD41:AD42"/>
    <mergeCell ref="AE41:AE42"/>
    <mergeCell ref="AK41:AK42"/>
    <mergeCell ref="AL47:AL48"/>
    <mergeCell ref="BG43:BG44"/>
    <mergeCell ref="B45:B46"/>
    <mergeCell ref="C45:C46"/>
    <mergeCell ref="I45:I46"/>
    <mergeCell ref="J45:J46"/>
    <mergeCell ref="P45:P46"/>
    <mergeCell ref="Q45:Q46"/>
    <mergeCell ref="W45:W46"/>
    <mergeCell ref="X45:X46"/>
    <mergeCell ref="AD45:AD46"/>
    <mergeCell ref="AL43:AL44"/>
    <mergeCell ref="AR43:AR44"/>
    <mergeCell ref="AS43:AS44"/>
    <mergeCell ref="AY43:AY44"/>
    <mergeCell ref="AZ43:AZ44"/>
    <mergeCell ref="BF43:BF44"/>
    <mergeCell ref="Q43:Q44"/>
    <mergeCell ref="W43:W44"/>
    <mergeCell ref="X43:X44"/>
    <mergeCell ref="AD43:AD44"/>
    <mergeCell ref="AE43:AE44"/>
    <mergeCell ref="AK43:AK44"/>
    <mergeCell ref="AZ45:AZ46"/>
    <mergeCell ref="AR47:AR48"/>
    <mergeCell ref="BG45:BG46"/>
    <mergeCell ref="B47:B48"/>
    <mergeCell ref="C47:C48"/>
    <mergeCell ref="I47:I48"/>
    <mergeCell ref="J47:J48"/>
    <mergeCell ref="P47:P48"/>
    <mergeCell ref="Q47:Q48"/>
    <mergeCell ref="W47:W48"/>
    <mergeCell ref="AE45:AE46"/>
    <mergeCell ref="AK45:AK46"/>
    <mergeCell ref="AL45:AL46"/>
    <mergeCell ref="AR45:AR46"/>
    <mergeCell ref="AS45:AS46"/>
    <mergeCell ref="AY45:AY46"/>
    <mergeCell ref="AS47:AS48"/>
    <mergeCell ref="AY47:AY48"/>
    <mergeCell ref="AZ47:AZ48"/>
    <mergeCell ref="BF47:BF48"/>
    <mergeCell ref="BG47:BG48"/>
    <mergeCell ref="X47:X48"/>
    <mergeCell ref="AD47:AD48"/>
    <mergeCell ref="AE47:AE48"/>
    <mergeCell ref="AK47:AK48"/>
  </mergeCells>
  <phoneticPr fontId="3"/>
  <conditionalFormatting sqref="BK11:BK14">
    <cfRule type="duplicateValues" dxfId="3" priority="2"/>
  </conditionalFormatting>
  <conditionalFormatting sqref="BK19:BK22">
    <cfRule type="duplicateValues" dxfId="2" priority="1"/>
  </conditionalFormatting>
  <hyperlinks>
    <hyperlink ref="A1" location="menu!A1" display="menu" xr:uid="{00000000-0004-0000-1A00-000000000000}"/>
  </hyperlinks>
  <printOptions horizontalCentered="1"/>
  <pageMargins left="0.78740157480314965" right="0.19685039370078741" top="0.74803149606299213" bottom="0.74803149606299213" header="0.31496062992125984" footer="0.31496062992125984"/>
  <pageSetup paperSize="9"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6:CD44"/>
  <sheetViews>
    <sheetView showGridLines="0" view="pageBreakPreview" topLeftCell="A13" zoomScale="85" zoomScaleNormal="100" zoomScaleSheetLayoutView="85" workbookViewId="0">
      <selection activeCell="I16" sqref="I16"/>
    </sheetView>
  </sheetViews>
  <sheetFormatPr defaultRowHeight="18.75"/>
  <sheetData>
    <row r="6" spans="1:82">
      <c r="CD6" t="s">
        <v>1147</v>
      </c>
    </row>
    <row r="7" spans="1:82" ht="18.75" customHeight="1">
      <c r="A7" s="529" t="str">
        <f>表紙!B7</f>
        <v>令和７年度</v>
      </c>
      <c r="B7" s="529"/>
      <c r="C7" s="529"/>
    </row>
    <row r="8" spans="1:82" ht="18.75" customHeight="1">
      <c r="A8" s="529"/>
      <c r="B8" s="529"/>
      <c r="C8" s="529"/>
      <c r="AT8" s="97"/>
      <c r="CD8" t="s">
        <v>1147</v>
      </c>
    </row>
    <row r="9" spans="1:82" ht="18.75" customHeight="1">
      <c r="A9" s="530" t="str">
        <f>+menu!F6</f>
        <v>鶴岡市集落排水事業</v>
      </c>
      <c r="B9" s="530"/>
      <c r="C9" s="530"/>
      <c r="D9" s="530"/>
      <c r="E9" s="530"/>
      <c r="F9" s="530"/>
      <c r="G9" s="530"/>
      <c r="H9" s="530"/>
    </row>
    <row r="10" spans="1:82" ht="18.75" customHeight="1">
      <c r="A10" s="530"/>
      <c r="B10" s="530"/>
      <c r="C10" s="530"/>
      <c r="D10" s="530"/>
      <c r="E10" s="530"/>
      <c r="F10" s="530"/>
      <c r="G10" s="530"/>
      <c r="H10" s="530"/>
      <c r="CD10" t="s">
        <v>1148</v>
      </c>
    </row>
    <row r="11" spans="1:82" ht="18.75" customHeight="1">
      <c r="A11" s="530" t="str">
        <f>表紙!B11</f>
        <v>東栄地区処理施設機械設備改修工事</v>
      </c>
      <c r="B11" s="530"/>
      <c r="C11" s="530"/>
      <c r="D11" s="530"/>
      <c r="E11" s="530"/>
      <c r="F11" s="530"/>
      <c r="G11" s="530"/>
      <c r="H11" s="530"/>
    </row>
    <row r="12" spans="1:82" ht="18.75" customHeight="1">
      <c r="A12" s="530"/>
      <c r="B12" s="530"/>
      <c r="C12" s="530"/>
      <c r="D12" s="530"/>
      <c r="E12" s="530"/>
      <c r="F12" s="530"/>
      <c r="G12" s="530"/>
      <c r="H12" s="530"/>
    </row>
    <row r="14" spans="1:82">
      <c r="A14" s="530" t="s">
        <v>214</v>
      </c>
      <c r="B14" s="530"/>
      <c r="C14" s="530"/>
      <c r="D14" s="530"/>
      <c r="E14" s="530"/>
      <c r="F14" s="530"/>
      <c r="G14" s="530"/>
      <c r="H14" s="530"/>
    </row>
    <row r="15" spans="1:82">
      <c r="A15" s="530"/>
      <c r="B15" s="530"/>
      <c r="C15" s="530"/>
      <c r="D15" s="530"/>
      <c r="E15" s="530"/>
      <c r="F15" s="530"/>
      <c r="G15" s="530"/>
      <c r="H15" s="530"/>
    </row>
    <row r="16" spans="1:82">
      <c r="A16" s="530" t="s">
        <v>215</v>
      </c>
      <c r="B16" s="530"/>
      <c r="C16" s="530"/>
      <c r="D16" s="530"/>
      <c r="E16" s="530"/>
      <c r="F16" s="530"/>
      <c r="G16" s="530"/>
      <c r="H16" s="530"/>
    </row>
    <row r="17" spans="1:8">
      <c r="A17" s="530"/>
      <c r="B17" s="530"/>
      <c r="C17" s="530"/>
      <c r="D17" s="530"/>
      <c r="E17" s="530"/>
      <c r="F17" s="530"/>
      <c r="G17" s="530"/>
      <c r="H17" s="530"/>
    </row>
    <row r="20" spans="1:8">
      <c r="A20" s="658"/>
      <c r="B20" s="659"/>
      <c r="C20" s="659"/>
      <c r="D20" s="659"/>
      <c r="E20" s="659"/>
      <c r="F20" s="659"/>
      <c r="G20" s="659"/>
      <c r="H20" s="659"/>
    </row>
    <row r="21" spans="1:8">
      <c r="A21" s="659"/>
      <c r="B21" s="659"/>
      <c r="C21" s="659"/>
      <c r="D21" s="659"/>
      <c r="E21" s="659"/>
      <c r="F21" s="659"/>
      <c r="G21" s="659"/>
      <c r="H21" s="659"/>
    </row>
    <row r="23" spans="1:8" ht="25.5">
      <c r="D23" s="530"/>
      <c r="E23" s="532"/>
    </row>
    <row r="24" spans="1:8">
      <c r="C24" s="530"/>
      <c r="D24" s="532"/>
      <c r="E24" s="532"/>
      <c r="F24" s="532"/>
    </row>
    <row r="25" spans="1:8">
      <c r="C25" s="532"/>
      <c r="D25" s="532"/>
      <c r="E25" s="532"/>
      <c r="F25" s="532"/>
    </row>
    <row r="35" spans="1:12" ht="18.75" customHeight="1">
      <c r="A35" s="531" t="s">
        <v>1145</v>
      </c>
      <c r="B35" s="531"/>
      <c r="C35" s="531"/>
      <c r="D35" s="531"/>
      <c r="E35" s="531"/>
      <c r="F35" s="531"/>
      <c r="G35" s="531"/>
      <c r="H35" s="531"/>
    </row>
    <row r="36" spans="1:12" ht="18.75" customHeight="1">
      <c r="A36" s="531"/>
      <c r="B36" s="531"/>
      <c r="C36" s="531"/>
      <c r="D36" s="531"/>
      <c r="E36" s="531"/>
      <c r="F36" s="531"/>
      <c r="G36" s="531"/>
      <c r="H36" s="531"/>
    </row>
    <row r="37" spans="1:12">
      <c r="A37" s="528" t="s">
        <v>211</v>
      </c>
      <c r="B37" s="528"/>
      <c r="C37" s="528"/>
      <c r="D37" s="528"/>
      <c r="E37" s="528"/>
      <c r="F37" s="528"/>
      <c r="G37" s="528"/>
      <c r="H37" s="528"/>
    </row>
    <row r="38" spans="1:12">
      <c r="A38" s="528"/>
      <c r="B38" s="528"/>
      <c r="C38" s="528"/>
      <c r="D38" s="528"/>
      <c r="E38" s="528"/>
      <c r="F38" s="528"/>
      <c r="G38" s="528"/>
      <c r="H38" s="528"/>
    </row>
    <row r="44" spans="1:12">
      <c r="L44" s="489"/>
    </row>
  </sheetData>
  <mergeCells count="10">
    <mergeCell ref="A37:H38"/>
    <mergeCell ref="A16:H17"/>
    <mergeCell ref="A20:H21"/>
    <mergeCell ref="A7:C8"/>
    <mergeCell ref="A9:H10"/>
    <mergeCell ref="A11:H12"/>
    <mergeCell ref="A14:H15"/>
    <mergeCell ref="A35:H36"/>
    <mergeCell ref="D23:E23"/>
    <mergeCell ref="C24:F25"/>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2:CD151"/>
  <sheetViews>
    <sheetView showGridLines="0" view="pageBreakPreview" topLeftCell="A4" zoomScale="85" zoomScaleNormal="100" zoomScaleSheetLayoutView="85" workbookViewId="0">
      <selection activeCell="AZ45" sqref="AZ45"/>
    </sheetView>
  </sheetViews>
  <sheetFormatPr defaultRowHeight="18.75"/>
  <cols>
    <col min="1" max="48" width="2.625" customWidth="1"/>
  </cols>
  <sheetData>
    <row r="2" spans="1:82" ht="15" customHeight="1">
      <c r="A2" s="596" t="s">
        <v>443</v>
      </c>
      <c r="B2" s="536"/>
      <c r="C2" s="536"/>
      <c r="D2" s="536"/>
      <c r="E2" s="536"/>
      <c r="F2" s="536"/>
      <c r="G2" s="536"/>
      <c r="H2" s="536"/>
      <c r="I2" s="536"/>
      <c r="J2" s="536"/>
      <c r="K2" s="536"/>
      <c r="L2" s="536"/>
      <c r="M2" s="536"/>
      <c r="N2" s="536"/>
      <c r="O2" s="536"/>
      <c r="P2" s="536"/>
      <c r="Q2" s="536"/>
      <c r="R2" s="536"/>
      <c r="S2" s="536"/>
      <c r="T2" s="536"/>
      <c r="U2" s="536"/>
      <c r="V2" s="536"/>
      <c r="W2" s="536"/>
      <c r="X2" s="597"/>
      <c r="Y2" s="596" t="s">
        <v>444</v>
      </c>
      <c r="Z2" s="536"/>
      <c r="AA2" s="536"/>
      <c r="AB2" s="536"/>
      <c r="AC2" s="536"/>
      <c r="AD2" s="536"/>
      <c r="AE2" s="536"/>
      <c r="AF2" s="536"/>
      <c r="AG2" s="536"/>
      <c r="AH2" s="536"/>
      <c r="AI2" s="536"/>
      <c r="AJ2" s="536"/>
      <c r="AK2" s="536"/>
      <c r="AL2" s="536"/>
      <c r="AM2" s="536"/>
      <c r="AN2" s="536"/>
      <c r="AO2" s="536"/>
      <c r="AP2" s="536"/>
      <c r="AQ2" s="536"/>
      <c r="AR2" s="536"/>
      <c r="AS2" s="536"/>
      <c r="AT2" s="536"/>
      <c r="AU2" s="536"/>
      <c r="AV2" s="597"/>
    </row>
    <row r="3" spans="1:82" ht="15" customHeight="1" thickBot="1">
      <c r="A3" s="598"/>
      <c r="B3" s="599"/>
      <c r="C3" s="599"/>
      <c r="D3" s="599"/>
      <c r="E3" s="599"/>
      <c r="F3" s="599"/>
      <c r="G3" s="599"/>
      <c r="H3" s="599"/>
      <c r="I3" s="599"/>
      <c r="J3" s="599"/>
      <c r="K3" s="599"/>
      <c r="L3" s="599"/>
      <c r="M3" s="599"/>
      <c r="N3" s="599"/>
      <c r="O3" s="599"/>
      <c r="P3" s="599"/>
      <c r="Q3" s="599"/>
      <c r="R3" s="599"/>
      <c r="S3" s="599"/>
      <c r="T3" s="599"/>
      <c r="U3" s="599"/>
      <c r="V3" s="599"/>
      <c r="W3" s="599"/>
      <c r="X3" s="600"/>
      <c r="Y3" s="598"/>
      <c r="Z3" s="599"/>
      <c r="AA3" s="599"/>
      <c r="AB3" s="599"/>
      <c r="AC3" s="599"/>
      <c r="AD3" s="599"/>
      <c r="AE3" s="599"/>
      <c r="AF3" s="599"/>
      <c r="AG3" s="599"/>
      <c r="AH3" s="599"/>
      <c r="AI3" s="599"/>
      <c r="AJ3" s="599"/>
      <c r="AK3" s="599"/>
      <c r="AL3" s="599"/>
      <c r="AM3" s="599"/>
      <c r="AN3" s="599"/>
      <c r="AO3" s="599"/>
      <c r="AP3" s="599"/>
      <c r="AQ3" s="599"/>
      <c r="AR3" s="599"/>
      <c r="AS3" s="599"/>
      <c r="AT3" s="599"/>
      <c r="AU3" s="599"/>
      <c r="AV3" s="600"/>
    </row>
    <row r="4" spans="1:82" ht="15" customHeight="1" thickTop="1">
      <c r="A4" s="289"/>
      <c r="B4" s="50"/>
      <c r="C4" s="50"/>
      <c r="D4" s="50"/>
      <c r="E4" s="50"/>
      <c r="F4" s="50"/>
      <c r="G4" s="50"/>
      <c r="H4" s="50"/>
      <c r="I4" s="50"/>
      <c r="J4" s="50"/>
      <c r="K4" s="50"/>
      <c r="L4" s="50"/>
      <c r="M4" s="50"/>
      <c r="N4" s="50"/>
      <c r="O4" s="50"/>
      <c r="P4" s="50"/>
      <c r="Q4" s="50"/>
      <c r="R4" s="50"/>
      <c r="S4" s="50"/>
      <c r="T4" s="50"/>
      <c r="U4" s="50"/>
      <c r="V4" s="50"/>
      <c r="W4" s="50"/>
      <c r="X4" s="290"/>
      <c r="Y4" s="50"/>
      <c r="Z4" s="50"/>
      <c r="AA4" s="50"/>
      <c r="AB4" s="50"/>
      <c r="AC4" s="50"/>
      <c r="AD4" s="50"/>
      <c r="AE4" s="50"/>
      <c r="AF4" s="50"/>
      <c r="AG4" s="50"/>
      <c r="AH4" s="50"/>
      <c r="AI4" s="50"/>
      <c r="AJ4" s="50"/>
      <c r="AK4" s="50"/>
      <c r="AL4" s="50"/>
      <c r="AM4" s="50"/>
      <c r="AN4" s="50"/>
      <c r="AO4" s="50"/>
      <c r="AP4" s="50"/>
      <c r="AQ4" s="50"/>
      <c r="AR4" s="50"/>
      <c r="AS4" s="50"/>
      <c r="AT4" s="50"/>
      <c r="AU4" s="50"/>
      <c r="AV4" s="290"/>
    </row>
    <row r="5" spans="1:82" ht="15" customHeight="1">
      <c r="A5" s="160" t="s">
        <v>1115</v>
      </c>
      <c r="B5" s="291"/>
      <c r="C5" s="291"/>
      <c r="D5" s="291"/>
      <c r="E5" s="291"/>
      <c r="F5" s="291"/>
      <c r="G5" s="291"/>
      <c r="H5" s="291"/>
      <c r="I5" s="291"/>
      <c r="J5" s="291"/>
      <c r="K5" s="291"/>
      <c r="L5" s="291"/>
      <c r="M5" s="291"/>
      <c r="N5" s="291"/>
      <c r="O5" s="291"/>
      <c r="P5" s="291"/>
      <c r="Q5" s="291"/>
      <c r="R5" s="291"/>
      <c r="S5" s="291"/>
      <c r="T5" s="291"/>
      <c r="U5" s="291"/>
      <c r="V5" s="291"/>
      <c r="W5" s="291"/>
      <c r="X5" s="292"/>
      <c r="Y5" s="160"/>
      <c r="Z5" s="291"/>
      <c r="AA5" s="291"/>
      <c r="AB5" s="291"/>
      <c r="AC5" s="291"/>
      <c r="AD5" s="291"/>
      <c r="AE5" s="291"/>
      <c r="AF5" s="291"/>
      <c r="AG5" s="291"/>
      <c r="AH5" s="291"/>
      <c r="AI5" s="291"/>
      <c r="AJ5" s="291"/>
      <c r="AK5" s="291"/>
      <c r="AL5" s="291"/>
      <c r="AM5" s="291"/>
      <c r="AN5" s="291"/>
      <c r="AO5" s="291"/>
      <c r="AP5" s="291"/>
      <c r="AQ5" s="291"/>
      <c r="AR5" s="291"/>
      <c r="AS5" s="291"/>
      <c r="AT5" s="291"/>
      <c r="AU5" s="291"/>
      <c r="AV5" s="292"/>
    </row>
    <row r="6" spans="1:82" ht="15" customHeight="1">
      <c r="A6" s="160"/>
      <c r="B6" s="291"/>
      <c r="C6" s="291"/>
      <c r="D6" s="291"/>
      <c r="E6" s="291"/>
      <c r="F6" s="291"/>
      <c r="G6" s="291"/>
      <c r="H6" s="291"/>
      <c r="I6" s="291"/>
      <c r="J6" s="291"/>
      <c r="K6" s="291"/>
      <c r="L6" s="291"/>
      <c r="M6" s="291"/>
      <c r="N6" s="291"/>
      <c r="O6" s="291"/>
      <c r="P6" s="291"/>
      <c r="Q6" s="291"/>
      <c r="R6" s="291"/>
      <c r="S6" s="291"/>
      <c r="T6" s="291"/>
      <c r="U6" s="291"/>
      <c r="V6" s="291"/>
      <c r="W6" s="291"/>
      <c r="X6" s="292"/>
      <c r="Y6" s="160"/>
      <c r="Z6" s="291"/>
      <c r="AA6" s="291"/>
      <c r="AB6" s="291"/>
      <c r="AC6" s="291"/>
      <c r="AD6" s="291"/>
      <c r="AE6" s="291"/>
      <c r="AF6" s="291"/>
      <c r="AG6" s="291"/>
      <c r="AH6" s="291"/>
      <c r="AI6" s="291"/>
      <c r="AJ6" s="291"/>
      <c r="AK6" s="291"/>
      <c r="AL6" s="291"/>
      <c r="AM6" s="291"/>
      <c r="AN6" s="291"/>
      <c r="AO6" s="291"/>
      <c r="AP6" s="291"/>
      <c r="AQ6" s="291"/>
      <c r="AR6" s="291"/>
      <c r="AS6" s="291"/>
      <c r="AT6" s="291"/>
      <c r="AU6" s="291"/>
      <c r="AV6" s="292"/>
      <c r="CD6" t="s">
        <v>1147</v>
      </c>
    </row>
    <row r="7" spans="1:82" ht="15" customHeight="1">
      <c r="A7" s="160"/>
      <c r="B7" s="291" t="s">
        <v>448</v>
      </c>
      <c r="C7" s="291"/>
      <c r="D7" s="291"/>
      <c r="E7" s="291"/>
      <c r="F7" s="291"/>
      <c r="G7" s="291"/>
      <c r="H7" s="291"/>
      <c r="I7" s="291"/>
      <c r="J7" s="291"/>
      <c r="K7" s="291"/>
      <c r="L7" s="291"/>
      <c r="M7" s="291"/>
      <c r="N7" s="291"/>
      <c r="O7" s="291"/>
      <c r="P7" s="291"/>
      <c r="Q7" s="291"/>
      <c r="R7" s="291"/>
      <c r="S7" s="291"/>
      <c r="T7" s="291"/>
      <c r="U7" s="291"/>
      <c r="V7" s="291"/>
      <c r="W7" s="291"/>
      <c r="X7" s="292"/>
      <c r="Y7" s="160"/>
      <c r="Z7" s="291"/>
      <c r="AA7" s="291"/>
      <c r="AB7" s="291"/>
      <c r="AC7" s="291"/>
      <c r="AD7" s="291"/>
      <c r="AE7" s="291"/>
      <c r="AF7" s="291"/>
      <c r="AG7" s="291"/>
      <c r="AH7" s="291"/>
      <c r="AI7" s="291"/>
      <c r="AJ7" s="291"/>
      <c r="AK7" s="291"/>
      <c r="AL7" s="291"/>
      <c r="AM7" s="291"/>
      <c r="AN7" s="291"/>
      <c r="AO7" s="291"/>
      <c r="AP7" s="291"/>
      <c r="AQ7" s="291"/>
      <c r="AR7" s="291"/>
      <c r="AS7" s="291"/>
      <c r="AT7" s="291"/>
      <c r="AU7" s="291"/>
      <c r="AV7" s="292"/>
    </row>
    <row r="8" spans="1:82" ht="15" customHeight="1">
      <c r="A8" s="160"/>
      <c r="B8" s="291"/>
      <c r="C8" s="291" t="s">
        <v>1113</v>
      </c>
      <c r="D8" s="291"/>
      <c r="E8" s="291"/>
      <c r="F8" s="291"/>
      <c r="G8" s="291"/>
      <c r="H8" s="291"/>
      <c r="I8" s="291"/>
      <c r="J8" s="291"/>
      <c r="K8" s="291" t="s">
        <v>1152</v>
      </c>
      <c r="L8" s="291"/>
      <c r="M8" s="291"/>
      <c r="N8" s="291"/>
      <c r="O8" s="291"/>
      <c r="P8" s="291"/>
      <c r="Q8" s="291" t="s">
        <v>1098</v>
      </c>
      <c r="R8" s="291"/>
      <c r="S8" s="291"/>
      <c r="T8" s="291"/>
      <c r="U8" s="291"/>
      <c r="V8" s="291"/>
      <c r="X8" s="292"/>
      <c r="Y8" s="160"/>
      <c r="Z8" s="291"/>
      <c r="AA8" s="291"/>
      <c r="AB8" s="291"/>
      <c r="AC8" s="291"/>
      <c r="AD8" s="291"/>
      <c r="AE8" s="291"/>
      <c r="AF8" s="291"/>
      <c r="AG8" s="291"/>
      <c r="AH8" s="291"/>
      <c r="AI8" s="291"/>
      <c r="AJ8" s="291"/>
      <c r="AK8" s="291"/>
      <c r="AL8" s="291"/>
      <c r="AM8" s="291"/>
      <c r="AN8" s="291"/>
      <c r="AO8" s="291"/>
      <c r="AP8" s="291"/>
      <c r="AQ8" s="291"/>
      <c r="AR8" s="291"/>
      <c r="AS8" s="291"/>
      <c r="AT8" s="97"/>
      <c r="AU8" s="291"/>
      <c r="AV8" s="292"/>
      <c r="CD8" t="s">
        <v>1147</v>
      </c>
    </row>
    <row r="9" spans="1:82" ht="15" customHeight="1">
      <c r="A9" s="160"/>
      <c r="B9" s="291"/>
      <c r="C9" s="291"/>
      <c r="D9" s="291" t="s">
        <v>1101</v>
      </c>
      <c r="E9" s="291"/>
      <c r="F9" s="291"/>
      <c r="G9" s="291"/>
      <c r="H9" s="291"/>
      <c r="I9" s="291"/>
      <c r="J9" s="291"/>
      <c r="K9" s="291"/>
      <c r="L9" s="291"/>
      <c r="M9" s="291"/>
      <c r="N9" s="291"/>
      <c r="O9" s="291"/>
      <c r="P9" s="291"/>
      <c r="Q9" s="291"/>
      <c r="R9" s="291"/>
      <c r="S9" s="291"/>
      <c r="T9" s="291"/>
      <c r="U9" s="291"/>
      <c r="V9" s="291"/>
      <c r="X9" s="292"/>
      <c r="Y9" s="160"/>
      <c r="Z9" s="291"/>
      <c r="AA9" s="291"/>
      <c r="AB9" s="291"/>
      <c r="AC9" s="291"/>
      <c r="AD9" s="291"/>
      <c r="AE9" s="291"/>
      <c r="AF9" s="291"/>
      <c r="AG9" s="291"/>
      <c r="AH9" s="291"/>
      <c r="AI9" s="291"/>
      <c r="AJ9" s="291"/>
      <c r="AK9" s="291"/>
      <c r="AL9" s="291"/>
      <c r="AM9" s="291"/>
      <c r="AN9" s="291"/>
      <c r="AO9" s="291"/>
      <c r="AP9" s="291"/>
      <c r="AQ9" s="291"/>
      <c r="AR9" s="291"/>
      <c r="AS9" s="291"/>
      <c r="AT9" s="291"/>
      <c r="AU9" s="291"/>
      <c r="AV9" s="292"/>
    </row>
    <row r="10" spans="1:82" ht="15" customHeight="1">
      <c r="A10" s="160"/>
      <c r="X10" s="292"/>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2"/>
      <c r="CD10" t="s">
        <v>1148</v>
      </c>
    </row>
    <row r="11" spans="1:82" ht="15" customHeight="1">
      <c r="A11" s="160"/>
      <c r="C11" s="291" t="s">
        <v>1114</v>
      </c>
      <c r="D11" s="291"/>
      <c r="E11" s="291"/>
      <c r="F11" s="291"/>
      <c r="G11" s="291"/>
      <c r="H11" s="291"/>
      <c r="I11" s="291"/>
      <c r="J11" s="291"/>
      <c r="K11" s="291" t="s">
        <v>1099</v>
      </c>
      <c r="L11" s="291"/>
      <c r="M11" s="291"/>
      <c r="N11" s="291"/>
      <c r="O11" s="291"/>
      <c r="P11" s="291"/>
      <c r="Q11" s="291" t="s">
        <v>1100</v>
      </c>
      <c r="R11" s="291"/>
      <c r="S11" s="291"/>
      <c r="T11" s="291"/>
      <c r="U11" s="291"/>
      <c r="V11" s="291"/>
      <c r="W11" s="291"/>
      <c r="X11" s="292"/>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2"/>
    </row>
    <row r="12" spans="1:82" ht="15" customHeight="1">
      <c r="A12" s="160"/>
      <c r="C12" s="291"/>
      <c r="D12" s="291" t="s">
        <v>1101</v>
      </c>
      <c r="E12" s="291"/>
      <c r="F12" s="291"/>
      <c r="G12" s="291"/>
      <c r="H12" s="291"/>
      <c r="I12" s="291"/>
      <c r="J12" s="291"/>
      <c r="K12" s="291"/>
      <c r="L12" s="291"/>
      <c r="M12" s="291"/>
      <c r="N12" s="291"/>
      <c r="O12" s="291"/>
      <c r="P12" s="291"/>
      <c r="Q12" s="291"/>
      <c r="R12" s="291"/>
      <c r="S12" s="291"/>
      <c r="T12" s="291"/>
      <c r="U12" s="291"/>
      <c r="V12" s="291"/>
      <c r="W12" s="291"/>
      <c r="X12" s="292"/>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2"/>
    </row>
    <row r="13" spans="1:82" ht="15" customHeight="1">
      <c r="A13" s="160"/>
      <c r="B13" s="291"/>
      <c r="C13" s="291"/>
      <c r="D13" s="291"/>
      <c r="E13" s="291"/>
      <c r="F13" s="291"/>
      <c r="G13" s="291"/>
      <c r="H13" s="291"/>
      <c r="I13" s="291"/>
      <c r="J13" s="291"/>
      <c r="K13" s="291"/>
      <c r="L13" s="291"/>
      <c r="M13" s="291"/>
      <c r="N13" s="291"/>
      <c r="O13" s="291"/>
      <c r="P13" s="291"/>
      <c r="Q13" s="291"/>
      <c r="R13" s="291"/>
      <c r="S13" s="291"/>
      <c r="T13" s="291"/>
      <c r="U13" s="291"/>
      <c r="V13" s="291"/>
      <c r="W13" s="291"/>
      <c r="X13" s="292"/>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2"/>
    </row>
    <row r="14" spans="1:82" ht="15" customHeight="1">
      <c r="A14" s="160"/>
      <c r="B14" s="291"/>
      <c r="C14" s="291"/>
      <c r="D14" s="291"/>
      <c r="E14" s="291"/>
      <c r="F14" s="291"/>
      <c r="G14" s="291"/>
      <c r="H14" s="291"/>
      <c r="I14" s="291"/>
      <c r="J14" s="291"/>
      <c r="K14" s="291"/>
      <c r="L14" s="291"/>
      <c r="M14" s="291"/>
      <c r="N14" s="291"/>
      <c r="O14" s="291"/>
      <c r="P14" s="291"/>
      <c r="Q14" s="291"/>
      <c r="R14" s="291"/>
      <c r="S14" s="291"/>
      <c r="T14" s="291"/>
      <c r="U14" s="291"/>
      <c r="V14" s="291"/>
      <c r="W14" s="291"/>
      <c r="X14" s="292"/>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2"/>
    </row>
    <row r="15" spans="1:82" ht="15" customHeight="1">
      <c r="A15" s="160"/>
      <c r="B15" s="291"/>
      <c r="C15" s="291"/>
      <c r="D15" s="291"/>
      <c r="E15" s="291"/>
      <c r="F15" s="291"/>
      <c r="G15" s="291"/>
      <c r="H15" s="291"/>
      <c r="I15" s="291"/>
      <c r="J15" s="291"/>
      <c r="K15" s="291"/>
      <c r="L15" s="291"/>
      <c r="M15" s="291"/>
      <c r="N15" s="291"/>
      <c r="O15" s="291"/>
      <c r="P15" s="291"/>
      <c r="Q15" s="291"/>
      <c r="R15" s="291"/>
      <c r="S15" s="291"/>
      <c r="T15" s="291"/>
      <c r="U15" s="291"/>
      <c r="V15" s="291"/>
      <c r="W15" s="291"/>
      <c r="X15" s="292"/>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2"/>
    </row>
    <row r="16" spans="1:82" ht="15" customHeight="1">
      <c r="A16" s="160"/>
      <c r="B16" s="291"/>
      <c r="C16" s="291"/>
      <c r="D16" s="291"/>
      <c r="E16" s="291"/>
      <c r="F16" s="291"/>
      <c r="G16" s="291"/>
      <c r="H16" s="291"/>
      <c r="I16" s="291"/>
      <c r="J16" s="291"/>
      <c r="K16" s="291"/>
      <c r="L16" s="291"/>
      <c r="M16" s="291"/>
      <c r="N16" s="291"/>
      <c r="O16" s="291"/>
      <c r="P16" s="291"/>
      <c r="Q16" s="291"/>
      <c r="R16" s="291"/>
      <c r="S16" s="291"/>
      <c r="T16" s="291"/>
      <c r="U16" s="291"/>
      <c r="V16" s="291"/>
      <c r="W16" s="291"/>
      <c r="X16" s="292"/>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2"/>
    </row>
    <row r="17" spans="1:48" ht="15" customHeight="1">
      <c r="A17" s="160"/>
      <c r="B17" s="291"/>
      <c r="C17" s="291"/>
      <c r="D17" s="291"/>
      <c r="E17" s="291"/>
      <c r="F17" s="291"/>
      <c r="G17" s="291"/>
      <c r="H17" s="291"/>
      <c r="I17" s="291"/>
      <c r="J17" s="291"/>
      <c r="K17" s="291"/>
      <c r="L17" s="291"/>
      <c r="M17" s="291"/>
      <c r="N17" s="291"/>
      <c r="O17" s="291"/>
      <c r="P17" s="291"/>
      <c r="Q17" s="291"/>
      <c r="R17" s="291"/>
      <c r="S17" s="291"/>
      <c r="T17" s="291"/>
      <c r="U17" s="291"/>
      <c r="V17" s="291"/>
      <c r="W17" s="291"/>
      <c r="X17" s="292"/>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2"/>
    </row>
    <row r="18" spans="1:48" ht="15" customHeight="1">
      <c r="A18" s="160"/>
      <c r="B18" s="291"/>
      <c r="C18" s="291"/>
      <c r="D18" s="291"/>
      <c r="E18" s="291"/>
      <c r="F18" s="291"/>
      <c r="G18" s="291"/>
      <c r="H18" s="291"/>
      <c r="I18" s="291"/>
      <c r="J18" s="291"/>
      <c r="K18" s="291"/>
      <c r="L18" s="291"/>
      <c r="M18" s="291"/>
      <c r="N18" s="291"/>
      <c r="O18" s="291"/>
      <c r="P18" s="291"/>
      <c r="Q18" s="291"/>
      <c r="R18" s="291"/>
      <c r="U18" s="291"/>
      <c r="V18" s="291"/>
      <c r="W18" s="291"/>
      <c r="X18" s="292"/>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2"/>
    </row>
    <row r="19" spans="1:48" ht="15" customHeight="1">
      <c r="A19" s="160"/>
      <c r="B19" s="291"/>
      <c r="C19" s="291"/>
      <c r="D19" s="291"/>
      <c r="E19" s="291"/>
      <c r="F19" s="291"/>
      <c r="G19" s="291"/>
      <c r="H19" s="291"/>
      <c r="I19" s="291"/>
      <c r="J19" s="291"/>
      <c r="K19" s="291"/>
      <c r="L19" s="291"/>
      <c r="M19" s="291"/>
      <c r="N19" s="291"/>
      <c r="O19" s="291"/>
      <c r="P19" s="291"/>
      <c r="Q19" s="291"/>
      <c r="R19" s="291"/>
      <c r="S19" s="291"/>
      <c r="T19" s="291"/>
      <c r="U19" s="291"/>
      <c r="V19" s="291"/>
      <c r="W19" s="291"/>
      <c r="X19" s="292"/>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2"/>
    </row>
    <row r="20" spans="1:48" ht="15" customHeight="1">
      <c r="A20" s="160"/>
      <c r="B20" s="291"/>
      <c r="C20" s="291"/>
      <c r="D20" s="291"/>
      <c r="E20" s="291"/>
      <c r="F20" s="291"/>
      <c r="G20" s="291"/>
      <c r="H20" s="291"/>
      <c r="I20" s="291"/>
      <c r="J20" s="291"/>
      <c r="K20" s="291"/>
      <c r="L20" s="291"/>
      <c r="M20" s="291"/>
      <c r="N20" s="291"/>
      <c r="O20" s="291"/>
      <c r="P20" s="291"/>
      <c r="Q20" s="291"/>
      <c r="R20" s="291"/>
      <c r="S20" s="291"/>
      <c r="T20" s="291"/>
      <c r="U20" s="291"/>
      <c r="V20" s="291"/>
      <c r="W20" s="291"/>
      <c r="X20" s="292"/>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2"/>
    </row>
    <row r="21" spans="1:48" ht="15" customHeight="1">
      <c r="A21" s="160"/>
      <c r="B21" s="291"/>
      <c r="C21" s="291"/>
      <c r="D21" s="291"/>
      <c r="E21" s="291"/>
      <c r="F21" s="291"/>
      <c r="G21" s="291"/>
      <c r="H21" s="291"/>
      <c r="I21" s="291"/>
      <c r="J21" s="291"/>
      <c r="K21" s="291"/>
      <c r="L21" s="291"/>
      <c r="M21" s="291"/>
      <c r="N21" s="291"/>
      <c r="O21" s="291"/>
      <c r="P21" s="291"/>
      <c r="Q21" s="291"/>
      <c r="R21" s="291"/>
      <c r="S21" s="291"/>
      <c r="T21" s="291"/>
      <c r="U21" s="291"/>
      <c r="V21" s="291"/>
      <c r="W21" s="291"/>
      <c r="X21" s="292"/>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2"/>
    </row>
    <row r="22" spans="1:48" ht="15" customHeight="1">
      <c r="A22" s="457"/>
      <c r="B22" s="350"/>
      <c r="C22" s="291"/>
      <c r="D22" s="291"/>
      <c r="E22" s="291"/>
      <c r="F22" s="291"/>
      <c r="G22" s="291"/>
      <c r="H22" s="291"/>
      <c r="I22" s="291"/>
      <c r="J22" s="291"/>
      <c r="K22" s="291"/>
      <c r="L22" s="291"/>
      <c r="M22" s="291"/>
      <c r="N22" s="291"/>
      <c r="O22" s="291"/>
      <c r="P22" s="291"/>
      <c r="Q22" s="291"/>
      <c r="R22" s="291"/>
      <c r="S22" s="291"/>
      <c r="T22" s="291"/>
      <c r="U22" s="291"/>
      <c r="V22" s="291"/>
      <c r="W22" s="291"/>
      <c r="X22" s="292"/>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2"/>
    </row>
    <row r="23" spans="1:48" ht="15" customHeight="1">
      <c r="A23" s="160"/>
      <c r="B23" s="291"/>
      <c r="C23" s="291"/>
      <c r="D23" s="291"/>
      <c r="E23" s="291"/>
      <c r="F23" s="291"/>
      <c r="G23" s="291"/>
      <c r="H23" s="291"/>
      <c r="I23" s="291"/>
      <c r="J23" s="291"/>
      <c r="K23" s="291"/>
      <c r="L23" s="291"/>
      <c r="M23" s="291"/>
      <c r="N23" s="291"/>
      <c r="O23" s="291"/>
      <c r="P23" s="291"/>
      <c r="Q23" s="291"/>
      <c r="R23" s="291"/>
      <c r="S23" s="291"/>
      <c r="T23" s="291"/>
      <c r="U23" s="291"/>
      <c r="V23" s="291"/>
      <c r="W23" s="291"/>
      <c r="X23" s="292"/>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2"/>
    </row>
    <row r="24" spans="1:48" ht="15" customHeight="1">
      <c r="A24" s="160"/>
      <c r="B24" s="291"/>
      <c r="C24" s="291"/>
      <c r="D24" s="291"/>
      <c r="E24" s="291"/>
      <c r="F24" s="291"/>
      <c r="G24" s="291"/>
      <c r="H24" s="291"/>
      <c r="I24" s="291"/>
      <c r="J24" s="291"/>
      <c r="K24" s="291"/>
      <c r="L24" s="291"/>
      <c r="M24" s="291"/>
      <c r="N24" s="291"/>
      <c r="O24" s="291"/>
      <c r="P24" s="291"/>
      <c r="Q24" s="291"/>
      <c r="R24" s="291"/>
      <c r="S24" s="291"/>
      <c r="T24" s="291"/>
      <c r="U24" s="291"/>
      <c r="V24" s="291"/>
      <c r="W24" s="291"/>
      <c r="X24" s="292"/>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2"/>
    </row>
    <row r="25" spans="1:48" ht="15" customHeight="1">
      <c r="A25" s="160"/>
      <c r="B25" s="291"/>
      <c r="C25" s="291"/>
      <c r="D25" s="291"/>
      <c r="E25" s="291"/>
      <c r="F25" s="291"/>
      <c r="G25" s="291"/>
      <c r="H25" s="291"/>
      <c r="I25" s="291"/>
      <c r="J25" s="291"/>
      <c r="K25" s="291"/>
      <c r="L25" s="291"/>
      <c r="M25" s="291"/>
      <c r="N25" s="291"/>
      <c r="O25" s="291"/>
      <c r="P25" s="291"/>
      <c r="Q25" s="291"/>
      <c r="R25" s="291"/>
      <c r="S25" s="291"/>
      <c r="T25" s="291"/>
      <c r="U25" s="291"/>
      <c r="V25" s="291"/>
      <c r="W25" s="293"/>
      <c r="X25" s="292"/>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2"/>
    </row>
    <row r="26" spans="1:48" ht="15" customHeight="1">
      <c r="A26" s="160"/>
      <c r="B26" s="291"/>
      <c r="C26" s="291"/>
      <c r="D26" s="291"/>
      <c r="E26" s="291"/>
      <c r="F26" s="291"/>
      <c r="G26" s="291"/>
      <c r="H26" s="291"/>
      <c r="I26" s="291"/>
      <c r="J26" s="291"/>
      <c r="K26" s="291"/>
      <c r="L26" s="291"/>
      <c r="M26" s="291"/>
      <c r="N26" s="291"/>
      <c r="O26" s="291"/>
      <c r="P26" s="291"/>
      <c r="Q26" s="291"/>
      <c r="R26" s="291"/>
      <c r="S26" s="291"/>
      <c r="T26" s="291"/>
      <c r="U26" s="291"/>
      <c r="V26" s="291"/>
      <c r="W26" s="291"/>
      <c r="X26" s="292"/>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2"/>
    </row>
    <row r="27" spans="1:48" ht="15" customHeight="1">
      <c r="A27" s="160"/>
      <c r="B27" s="291"/>
      <c r="C27" s="291"/>
      <c r="D27" s="291"/>
      <c r="E27" s="291"/>
      <c r="F27" s="291"/>
      <c r="G27" s="291"/>
      <c r="H27" s="291"/>
      <c r="I27" s="291"/>
      <c r="J27" s="291"/>
      <c r="K27" s="291"/>
      <c r="L27" s="291"/>
      <c r="M27" s="291"/>
      <c r="N27" s="291"/>
      <c r="O27" s="291"/>
      <c r="P27" s="291"/>
      <c r="Q27" s="291"/>
      <c r="R27" s="291"/>
      <c r="S27" s="291"/>
      <c r="T27" s="291"/>
      <c r="U27" s="291"/>
      <c r="V27" s="291"/>
      <c r="W27" s="291"/>
      <c r="X27" s="292"/>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2"/>
    </row>
    <row r="28" spans="1:48" ht="15" customHeight="1">
      <c r="A28" s="160"/>
      <c r="B28" s="291"/>
      <c r="C28" s="291"/>
      <c r="D28" s="291"/>
      <c r="E28" s="291"/>
      <c r="F28" s="291"/>
      <c r="G28" s="291"/>
      <c r="H28" s="291"/>
      <c r="I28" s="291"/>
      <c r="J28" s="291"/>
      <c r="K28" s="291"/>
      <c r="L28" s="291"/>
      <c r="M28" s="291"/>
      <c r="N28" s="291"/>
      <c r="O28" s="291"/>
      <c r="P28" s="291"/>
      <c r="Q28" s="291"/>
      <c r="R28" s="291"/>
      <c r="S28" s="291"/>
      <c r="T28" s="291"/>
      <c r="U28" s="291"/>
      <c r="V28" s="291"/>
      <c r="W28" s="291"/>
      <c r="X28" s="292"/>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2"/>
    </row>
    <row r="29" spans="1:48" ht="15" customHeight="1">
      <c r="A29" s="119"/>
      <c r="B29" s="291"/>
      <c r="C29" s="291"/>
      <c r="D29" s="291"/>
      <c r="E29" s="291"/>
      <c r="F29" s="291"/>
      <c r="G29" s="291"/>
      <c r="H29" s="291"/>
      <c r="I29" s="291"/>
      <c r="J29" s="291"/>
      <c r="K29" s="291"/>
      <c r="L29" s="291"/>
      <c r="M29" s="291"/>
      <c r="N29" s="291"/>
      <c r="O29" s="291"/>
      <c r="P29" s="291"/>
      <c r="Q29" s="291"/>
      <c r="R29" s="291"/>
      <c r="X29" s="12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2"/>
    </row>
    <row r="30" spans="1:48" ht="15" customHeight="1">
      <c r="A30" s="119"/>
      <c r="B30" s="291"/>
      <c r="C30" s="291"/>
      <c r="D30" s="291"/>
      <c r="E30" s="291"/>
      <c r="F30" s="291"/>
      <c r="G30" s="291"/>
      <c r="H30" s="291"/>
      <c r="I30" s="291"/>
      <c r="J30" s="291"/>
      <c r="K30" s="291"/>
      <c r="L30" s="291"/>
      <c r="M30" s="291"/>
      <c r="N30" s="291"/>
      <c r="O30" s="291"/>
      <c r="P30" s="291"/>
      <c r="Q30" s="291"/>
      <c r="R30" s="291"/>
      <c r="X30" s="12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2"/>
    </row>
    <row r="31" spans="1:48" ht="15" customHeight="1">
      <c r="A31" s="119"/>
      <c r="B31" s="291"/>
      <c r="C31" s="291"/>
      <c r="D31" s="291"/>
      <c r="E31" s="291"/>
      <c r="F31" s="291"/>
      <c r="G31" s="291"/>
      <c r="H31" s="291"/>
      <c r="I31" s="291"/>
      <c r="J31" s="291"/>
      <c r="K31" s="291"/>
      <c r="L31" s="291"/>
      <c r="M31" s="291"/>
      <c r="N31" s="291"/>
      <c r="O31" s="291"/>
      <c r="P31" s="291"/>
      <c r="Q31" s="291"/>
      <c r="R31" s="291"/>
      <c r="X31" s="12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2"/>
    </row>
    <row r="32" spans="1:48" ht="15" customHeight="1">
      <c r="A32" s="119"/>
      <c r="X32" s="12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2"/>
    </row>
    <row r="33" spans="1:48" ht="15" customHeight="1">
      <c r="A33" s="119"/>
      <c r="B33" s="291"/>
      <c r="C33" s="291"/>
      <c r="D33" s="291"/>
      <c r="E33" s="291"/>
      <c r="F33" s="291"/>
      <c r="G33" s="291"/>
      <c r="H33" s="291"/>
      <c r="I33" s="291"/>
      <c r="J33" s="291"/>
      <c r="K33" s="291"/>
      <c r="L33" s="291"/>
      <c r="M33" s="291"/>
      <c r="N33" s="291"/>
      <c r="O33" s="291"/>
      <c r="P33" s="291"/>
      <c r="Q33" s="291"/>
      <c r="R33" s="291"/>
      <c r="X33" s="12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2"/>
    </row>
    <row r="34" spans="1:48" ht="15" customHeight="1">
      <c r="A34" s="119"/>
      <c r="B34" s="291"/>
      <c r="C34" s="291"/>
      <c r="D34" s="291"/>
      <c r="E34" s="291"/>
      <c r="F34" s="291"/>
      <c r="G34" s="291"/>
      <c r="H34" s="291"/>
      <c r="I34" s="291"/>
      <c r="J34" s="291"/>
      <c r="K34" s="291"/>
      <c r="L34" s="291"/>
      <c r="M34" s="291"/>
      <c r="N34" s="291"/>
      <c r="O34" s="291"/>
      <c r="P34" s="291"/>
      <c r="Q34" s="291"/>
      <c r="R34" s="291"/>
      <c r="X34" s="12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2"/>
    </row>
    <row r="35" spans="1:48" ht="15" customHeight="1">
      <c r="A35" s="119"/>
      <c r="X35" s="12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2"/>
    </row>
    <row r="36" spans="1:48" ht="15" customHeight="1">
      <c r="A36" s="119"/>
      <c r="C36" s="291"/>
      <c r="D36" s="291"/>
      <c r="E36" s="291"/>
      <c r="F36" s="291"/>
      <c r="G36" s="291"/>
      <c r="H36" s="291"/>
      <c r="I36" s="291"/>
      <c r="J36" s="291"/>
      <c r="K36" s="291"/>
      <c r="L36" s="291"/>
      <c r="M36" s="291"/>
      <c r="N36" s="291"/>
      <c r="O36" s="291"/>
      <c r="P36" s="291"/>
      <c r="Q36" s="291"/>
      <c r="X36" s="12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2"/>
    </row>
    <row r="37" spans="1:48" ht="15" customHeight="1">
      <c r="A37" s="119"/>
      <c r="C37" s="291"/>
      <c r="D37" s="291"/>
      <c r="E37" s="291"/>
      <c r="F37" s="291"/>
      <c r="G37" s="291"/>
      <c r="H37" s="291"/>
      <c r="I37" s="291"/>
      <c r="J37" s="291"/>
      <c r="K37" s="291"/>
      <c r="L37" s="291"/>
      <c r="M37" s="291"/>
      <c r="N37" s="291"/>
      <c r="O37" s="291"/>
      <c r="P37" s="291"/>
      <c r="Q37" s="291"/>
      <c r="X37" s="12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2"/>
    </row>
    <row r="38" spans="1:48" ht="15" customHeight="1">
      <c r="A38" s="119"/>
      <c r="C38" s="291"/>
      <c r="D38" s="291"/>
      <c r="E38" s="291"/>
      <c r="F38" s="291"/>
      <c r="G38" s="291"/>
      <c r="H38" s="291"/>
      <c r="I38" s="291"/>
      <c r="J38" s="291"/>
      <c r="K38" s="291"/>
      <c r="L38" s="291"/>
      <c r="M38" s="291"/>
      <c r="N38" s="291"/>
      <c r="O38" s="291"/>
      <c r="P38" s="291"/>
      <c r="Q38" s="291"/>
      <c r="X38" s="12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2"/>
    </row>
    <row r="39" spans="1:48" ht="15" customHeight="1">
      <c r="A39" s="119"/>
      <c r="C39" s="291"/>
      <c r="D39" s="291"/>
      <c r="E39" s="291"/>
      <c r="F39" s="291"/>
      <c r="G39" s="291"/>
      <c r="H39" s="291"/>
      <c r="I39" s="291"/>
      <c r="J39" s="291"/>
      <c r="K39" s="291"/>
      <c r="L39" s="291"/>
      <c r="M39" s="291"/>
      <c r="N39" s="291"/>
      <c r="O39" s="291"/>
      <c r="P39" s="291"/>
      <c r="Q39" s="291"/>
      <c r="X39" s="12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2"/>
    </row>
    <row r="40" spans="1:48" ht="15" customHeight="1">
      <c r="A40" s="119"/>
      <c r="X40" s="12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2"/>
    </row>
    <row r="41" spans="1:48" ht="15" customHeight="1">
      <c r="A41" s="119"/>
      <c r="C41" s="291"/>
      <c r="D41" s="291"/>
      <c r="E41" s="291"/>
      <c r="F41" s="291"/>
      <c r="G41" s="291"/>
      <c r="H41" s="291"/>
      <c r="I41" s="291"/>
      <c r="J41" s="291"/>
      <c r="K41" s="291"/>
      <c r="L41" s="291"/>
      <c r="M41" s="291"/>
      <c r="N41" s="291"/>
      <c r="O41" s="291"/>
      <c r="P41" s="291"/>
      <c r="Q41" s="291"/>
      <c r="R41" s="291"/>
      <c r="X41" s="12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2"/>
    </row>
    <row r="42" spans="1:48" ht="15" customHeight="1">
      <c r="A42" s="119"/>
      <c r="C42" s="291"/>
      <c r="D42" s="458"/>
      <c r="E42" s="291"/>
      <c r="F42" s="291"/>
      <c r="G42" s="291"/>
      <c r="H42" s="291"/>
      <c r="I42" s="291"/>
      <c r="J42" s="291"/>
      <c r="K42" s="291"/>
      <c r="L42" s="291"/>
      <c r="M42" s="291"/>
      <c r="N42" s="291"/>
      <c r="O42" s="291"/>
      <c r="P42" s="291"/>
      <c r="Q42" s="291"/>
      <c r="R42" s="291"/>
      <c r="X42" s="12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2"/>
    </row>
    <row r="43" spans="1:48" ht="15" customHeight="1">
      <c r="A43" s="119"/>
      <c r="C43" s="291"/>
      <c r="D43" s="291"/>
      <c r="E43" s="291"/>
      <c r="F43" s="291"/>
      <c r="G43" s="291"/>
      <c r="H43" s="291"/>
      <c r="I43" s="291"/>
      <c r="J43" s="291"/>
      <c r="K43" s="291"/>
      <c r="L43" s="291"/>
      <c r="M43" s="291"/>
      <c r="N43" s="291"/>
      <c r="O43" s="291"/>
      <c r="P43" s="291"/>
      <c r="Q43" s="291"/>
      <c r="X43" s="12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2"/>
    </row>
    <row r="44" spans="1:48" ht="15" customHeight="1">
      <c r="A44" s="160"/>
      <c r="B44" s="291"/>
      <c r="C44" s="291"/>
      <c r="D44" s="291"/>
      <c r="E44" s="291"/>
      <c r="F44" s="291"/>
      <c r="G44" s="291"/>
      <c r="H44" s="291"/>
      <c r="I44" s="291"/>
      <c r="J44" s="291"/>
      <c r="K44" s="291"/>
      <c r="L44" s="489"/>
      <c r="M44" s="291"/>
      <c r="N44" s="291"/>
      <c r="O44" s="291"/>
      <c r="P44" s="291"/>
      <c r="Q44" s="291"/>
      <c r="R44" s="291"/>
      <c r="S44" s="291"/>
      <c r="T44" s="291"/>
      <c r="U44" s="291"/>
      <c r="V44" s="291"/>
      <c r="W44" s="291"/>
      <c r="X44" s="292"/>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2"/>
    </row>
    <row r="45" spans="1:48" ht="15" customHeight="1">
      <c r="A45" s="160"/>
      <c r="B45" s="291"/>
      <c r="C45" s="291"/>
      <c r="D45" s="291"/>
      <c r="E45" s="291"/>
      <c r="F45" s="291"/>
      <c r="G45" s="291"/>
      <c r="H45" s="291"/>
      <c r="I45" s="291"/>
      <c r="J45" s="291"/>
      <c r="K45" s="291"/>
      <c r="L45" s="291"/>
      <c r="M45" s="291"/>
      <c r="N45" s="291"/>
      <c r="O45" s="291"/>
      <c r="P45" s="291"/>
      <c r="Q45" s="291"/>
      <c r="R45" s="291"/>
      <c r="S45" s="291"/>
      <c r="T45" s="291"/>
      <c r="U45" s="291"/>
      <c r="V45" s="291"/>
      <c r="W45" s="291"/>
      <c r="X45" s="292"/>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2"/>
    </row>
    <row r="46" spans="1:48" ht="15" customHeight="1">
      <c r="A46" s="160"/>
      <c r="B46" s="291"/>
      <c r="C46" s="291"/>
      <c r="D46" s="291"/>
      <c r="E46" s="291"/>
      <c r="F46" s="291"/>
      <c r="G46" s="291"/>
      <c r="H46" s="291"/>
      <c r="I46" s="291"/>
      <c r="J46" s="291"/>
      <c r="K46" s="291"/>
      <c r="L46" s="291"/>
      <c r="M46" s="291"/>
      <c r="N46" s="291"/>
      <c r="O46" s="291"/>
      <c r="P46" s="291"/>
      <c r="Q46" s="291"/>
      <c r="R46" s="291"/>
      <c r="S46" s="291"/>
      <c r="T46" s="291"/>
      <c r="U46" s="291"/>
      <c r="V46" s="291"/>
      <c r="W46" s="291"/>
      <c r="X46" s="292"/>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2"/>
    </row>
    <row r="47" spans="1:48" ht="15" customHeight="1">
      <c r="A47" s="160"/>
      <c r="B47" s="291"/>
      <c r="C47" s="291"/>
      <c r="D47" s="291"/>
      <c r="E47" s="291"/>
      <c r="F47" s="291"/>
      <c r="G47" s="291"/>
      <c r="H47" s="291"/>
      <c r="I47" s="291"/>
      <c r="J47" s="291"/>
      <c r="K47" s="291"/>
      <c r="L47" s="291"/>
      <c r="M47" s="291"/>
      <c r="N47" s="291"/>
      <c r="O47" s="291"/>
      <c r="P47" s="291"/>
      <c r="Q47" s="291"/>
      <c r="R47" s="291"/>
      <c r="S47" s="291"/>
      <c r="T47" s="291"/>
      <c r="U47" s="291"/>
      <c r="V47" s="291"/>
      <c r="W47" s="291"/>
      <c r="X47" s="292"/>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2"/>
    </row>
    <row r="48" spans="1:48" ht="15" customHeight="1">
      <c r="A48" s="160"/>
      <c r="B48" s="291"/>
      <c r="C48" s="291"/>
      <c r="D48" s="291"/>
      <c r="E48" s="291"/>
      <c r="F48" s="291"/>
      <c r="G48" s="291"/>
      <c r="H48" s="291"/>
      <c r="I48" s="291"/>
      <c r="J48" s="291"/>
      <c r="K48" s="291"/>
      <c r="L48" s="291"/>
      <c r="M48" s="291"/>
      <c r="N48" s="291"/>
      <c r="O48" s="291"/>
      <c r="P48" s="291"/>
      <c r="Q48" s="291"/>
      <c r="R48" s="291"/>
      <c r="S48" s="291"/>
      <c r="T48" s="291"/>
      <c r="U48" s="291"/>
      <c r="V48" s="291"/>
      <c r="W48" s="291"/>
      <c r="X48" s="292"/>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2"/>
    </row>
    <row r="49" spans="1:48" ht="15" customHeight="1">
      <c r="A49" s="160"/>
      <c r="B49" s="291"/>
      <c r="C49" s="291"/>
      <c r="D49" s="291"/>
      <c r="E49" s="291"/>
      <c r="F49" s="291"/>
      <c r="G49" s="291"/>
      <c r="H49" s="291"/>
      <c r="I49" s="291"/>
      <c r="J49" s="291"/>
      <c r="K49" s="291"/>
      <c r="L49" s="291"/>
      <c r="M49" s="291"/>
      <c r="N49" s="291"/>
      <c r="O49" s="291"/>
      <c r="P49" s="291"/>
      <c r="Q49" s="291"/>
      <c r="R49" s="291"/>
      <c r="S49" s="291"/>
      <c r="T49" s="291"/>
      <c r="U49" s="291"/>
      <c r="V49" s="291"/>
      <c r="W49" s="291"/>
      <c r="X49" s="292"/>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2"/>
    </row>
    <row r="50" spans="1:48" ht="15" customHeight="1">
      <c r="A50" s="160"/>
      <c r="B50" s="291"/>
      <c r="C50" s="291"/>
      <c r="D50" s="291"/>
      <c r="E50" s="291"/>
      <c r="F50" s="291"/>
      <c r="G50" s="291"/>
      <c r="H50" s="291"/>
      <c r="I50" s="291"/>
      <c r="J50" s="291"/>
      <c r="K50" s="291"/>
      <c r="L50" s="291"/>
      <c r="M50" s="291"/>
      <c r="N50" s="291"/>
      <c r="O50" s="291"/>
      <c r="P50" s="291"/>
      <c r="Q50" s="291"/>
      <c r="R50" s="291"/>
      <c r="S50" s="291"/>
      <c r="T50" s="291"/>
      <c r="U50" s="291"/>
      <c r="V50" s="291"/>
      <c r="W50" s="293"/>
      <c r="X50" s="292"/>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2"/>
    </row>
    <row r="51" spans="1:48" ht="15" customHeight="1">
      <c r="A51" s="160"/>
      <c r="B51" s="291"/>
      <c r="C51" s="291"/>
      <c r="D51" s="291"/>
      <c r="E51" s="291"/>
      <c r="F51" s="291"/>
      <c r="G51" s="291"/>
      <c r="H51" s="291"/>
      <c r="I51" s="291"/>
      <c r="J51" s="291"/>
      <c r="K51" s="291"/>
      <c r="L51" s="291"/>
      <c r="M51" s="291"/>
      <c r="N51" s="291"/>
      <c r="O51" s="291"/>
      <c r="P51" s="291"/>
      <c r="Q51" s="291"/>
      <c r="R51" s="291"/>
      <c r="S51" s="291"/>
      <c r="T51" s="291"/>
      <c r="U51" s="291"/>
      <c r="V51" s="291"/>
      <c r="W51" s="291"/>
      <c r="X51" s="292"/>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2"/>
    </row>
    <row r="52" spans="1:48" ht="15" customHeight="1">
      <c r="A52" s="160"/>
      <c r="B52" s="291"/>
      <c r="C52" s="291"/>
      <c r="D52" s="291"/>
      <c r="E52" s="291"/>
      <c r="F52" s="291"/>
      <c r="G52" s="291"/>
      <c r="H52" s="291"/>
      <c r="I52" s="291"/>
      <c r="J52" s="291"/>
      <c r="K52" s="291"/>
      <c r="L52" s="291"/>
      <c r="M52" s="291"/>
      <c r="N52" s="291"/>
      <c r="O52" s="291"/>
      <c r="P52" s="291"/>
      <c r="Q52" s="291"/>
      <c r="R52" s="291"/>
      <c r="S52" s="291"/>
      <c r="T52" s="291"/>
      <c r="U52" s="291"/>
      <c r="V52" s="291"/>
      <c r="W52" s="291"/>
      <c r="X52" s="292"/>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2"/>
    </row>
    <row r="53" spans="1:48" ht="15" customHeight="1">
      <c r="A53" s="160"/>
      <c r="B53" s="291"/>
      <c r="C53" s="291"/>
      <c r="D53" s="291"/>
      <c r="E53" s="291"/>
      <c r="F53" s="291"/>
      <c r="G53" s="291"/>
      <c r="H53" s="291"/>
      <c r="I53" s="291"/>
      <c r="J53" s="291"/>
      <c r="K53" s="291"/>
      <c r="L53" s="291"/>
      <c r="M53" s="291"/>
      <c r="N53" s="291"/>
      <c r="O53" s="291"/>
      <c r="P53" s="291"/>
      <c r="Q53" s="291"/>
      <c r="R53" s="291"/>
      <c r="S53" s="291"/>
      <c r="T53" s="291"/>
      <c r="U53" s="291"/>
      <c r="V53" s="291"/>
      <c r="W53" s="291"/>
      <c r="X53" s="292"/>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2"/>
    </row>
    <row r="54" spans="1:48" ht="15" customHeight="1">
      <c r="A54" s="160"/>
      <c r="B54" s="291"/>
      <c r="C54" s="291"/>
      <c r="D54" s="291"/>
      <c r="E54" s="291"/>
      <c r="F54" s="291"/>
      <c r="G54" s="291"/>
      <c r="H54" s="291"/>
      <c r="I54" s="291"/>
      <c r="J54" s="291"/>
      <c r="K54" s="291"/>
      <c r="L54" s="291"/>
      <c r="M54" s="291"/>
      <c r="N54" s="291"/>
      <c r="O54" s="291"/>
      <c r="P54" s="291"/>
      <c r="Q54" s="291"/>
      <c r="R54" s="291"/>
      <c r="S54" s="291"/>
      <c r="T54" s="291"/>
      <c r="U54" s="291"/>
      <c r="V54" s="291"/>
      <c r="W54" s="291"/>
      <c r="X54" s="292"/>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2"/>
    </row>
    <row r="55" spans="1:48" ht="15" customHeight="1">
      <c r="A55" s="160"/>
      <c r="B55" s="291"/>
      <c r="C55" s="291"/>
      <c r="D55" s="291"/>
      <c r="E55" s="291"/>
      <c r="F55" s="291"/>
      <c r="G55" s="291"/>
      <c r="H55" s="291"/>
      <c r="I55" s="291"/>
      <c r="J55" s="291"/>
      <c r="K55" s="291"/>
      <c r="L55" s="291"/>
      <c r="M55" s="291"/>
      <c r="N55" s="291"/>
      <c r="O55" s="291"/>
      <c r="P55" s="291"/>
      <c r="Q55" s="291"/>
      <c r="R55" s="291"/>
      <c r="S55" s="291"/>
      <c r="T55" s="291"/>
      <c r="U55" s="291"/>
      <c r="V55" s="291"/>
      <c r="W55" s="291"/>
      <c r="X55" s="292"/>
      <c r="Y55" s="291"/>
      <c r="Z55" s="291"/>
      <c r="AA55" s="291"/>
      <c r="AB55" s="291"/>
      <c r="AC55" s="291"/>
      <c r="AD55" s="291"/>
      <c r="AE55" s="291"/>
      <c r="AF55" s="291"/>
      <c r="AG55" s="291"/>
      <c r="AH55" s="291"/>
      <c r="AI55" s="291"/>
      <c r="AJ55" s="291"/>
      <c r="AK55" s="291"/>
      <c r="AL55" s="291"/>
      <c r="AM55" s="291"/>
      <c r="AN55" s="291"/>
      <c r="AO55" s="291"/>
      <c r="AP55" s="291"/>
      <c r="AQ55" s="291"/>
      <c r="AR55" s="291"/>
      <c r="AS55" s="291"/>
      <c r="AT55" s="291"/>
      <c r="AU55" s="291"/>
      <c r="AV55" s="292"/>
    </row>
    <row r="56" spans="1:48" ht="15" customHeight="1">
      <c r="A56" s="160"/>
      <c r="B56" s="291"/>
      <c r="C56" s="291"/>
      <c r="D56" s="291"/>
      <c r="E56" s="291"/>
      <c r="F56" s="291"/>
      <c r="G56" s="291"/>
      <c r="H56" s="291"/>
      <c r="I56" s="291"/>
      <c r="J56" s="291"/>
      <c r="K56" s="291"/>
      <c r="L56" s="291"/>
      <c r="M56" s="291"/>
      <c r="N56" s="291"/>
      <c r="O56" s="291"/>
      <c r="P56" s="291"/>
      <c r="Q56" s="291"/>
      <c r="R56" s="291"/>
      <c r="S56" s="291"/>
      <c r="T56" s="291"/>
      <c r="U56" s="291"/>
      <c r="V56" s="291"/>
      <c r="W56" s="291"/>
      <c r="X56" s="292"/>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2"/>
    </row>
    <row r="57" spans="1:48" ht="15" customHeight="1">
      <c r="A57" s="160"/>
      <c r="B57" s="291"/>
      <c r="C57" s="291"/>
      <c r="D57" s="291"/>
      <c r="E57" s="291"/>
      <c r="F57" s="291"/>
      <c r="G57" s="291"/>
      <c r="H57" s="291"/>
      <c r="I57" s="291"/>
      <c r="J57" s="291"/>
      <c r="K57" s="291"/>
      <c r="L57" s="291"/>
      <c r="M57" s="291"/>
      <c r="N57" s="291"/>
      <c r="O57" s="291"/>
      <c r="P57" s="291"/>
      <c r="Q57" s="291"/>
      <c r="R57" s="291"/>
      <c r="S57" s="291"/>
      <c r="T57" s="291"/>
      <c r="U57" s="291"/>
      <c r="V57" s="291"/>
      <c r="W57" s="291"/>
      <c r="X57" s="292"/>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2"/>
    </row>
    <row r="58" spans="1:48" ht="15" customHeight="1">
      <c r="A58" s="160"/>
      <c r="B58" s="291"/>
      <c r="C58" s="291"/>
      <c r="D58" s="291"/>
      <c r="E58" s="291"/>
      <c r="F58" s="291"/>
      <c r="G58" s="291"/>
      <c r="H58" s="291"/>
      <c r="I58" s="291"/>
      <c r="J58" s="291"/>
      <c r="K58" s="291"/>
      <c r="L58" s="291"/>
      <c r="M58" s="291"/>
      <c r="N58" s="291"/>
      <c r="O58" s="291"/>
      <c r="P58" s="291"/>
      <c r="Q58" s="291"/>
      <c r="R58" s="291"/>
      <c r="S58" s="291"/>
      <c r="T58" s="291"/>
      <c r="U58" s="291"/>
      <c r="V58" s="291"/>
      <c r="W58" s="291"/>
      <c r="X58" s="292"/>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2"/>
    </row>
    <row r="59" spans="1:48" ht="15" customHeight="1">
      <c r="A59" s="160"/>
      <c r="B59" s="291"/>
      <c r="C59" s="291"/>
      <c r="D59" s="291"/>
      <c r="E59" s="291"/>
      <c r="F59" s="291"/>
      <c r="G59" s="291"/>
      <c r="H59" s="291"/>
      <c r="I59" s="291"/>
      <c r="J59" s="291"/>
      <c r="K59" s="291"/>
      <c r="L59" s="291"/>
      <c r="M59" s="291"/>
      <c r="N59" s="291"/>
      <c r="O59" s="291"/>
      <c r="P59" s="291"/>
      <c r="Q59" s="291"/>
      <c r="R59" s="291"/>
      <c r="S59" s="291"/>
      <c r="T59" s="291"/>
      <c r="U59" s="291"/>
      <c r="V59" s="291"/>
      <c r="W59" s="293"/>
      <c r="X59" s="292"/>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2"/>
    </row>
    <row r="60" spans="1:48" ht="15" customHeight="1">
      <c r="A60" s="160"/>
      <c r="B60" s="291"/>
      <c r="C60" s="291"/>
      <c r="D60" s="291"/>
      <c r="E60" s="291"/>
      <c r="F60" s="291"/>
      <c r="G60" s="291"/>
      <c r="H60" s="291"/>
      <c r="I60" s="291"/>
      <c r="J60" s="291"/>
      <c r="K60" s="291"/>
      <c r="L60" s="291"/>
      <c r="M60" s="291"/>
      <c r="N60" s="291"/>
      <c r="O60" s="291"/>
      <c r="P60" s="291"/>
      <c r="Q60" s="291"/>
      <c r="R60" s="291"/>
      <c r="S60" s="291"/>
      <c r="T60" s="291"/>
      <c r="U60" s="291"/>
      <c r="V60" s="291"/>
      <c r="W60" s="291"/>
      <c r="X60" s="292"/>
      <c r="Y60" s="291"/>
      <c r="Z60" s="291"/>
      <c r="AA60" s="291"/>
      <c r="AB60" s="291"/>
      <c r="AC60" s="291"/>
      <c r="AD60" s="291"/>
      <c r="AE60" s="291"/>
      <c r="AF60" s="291"/>
      <c r="AG60" s="291"/>
      <c r="AH60" s="291"/>
      <c r="AI60" s="291"/>
      <c r="AJ60" s="291"/>
      <c r="AK60" s="291"/>
      <c r="AL60" s="291"/>
      <c r="AM60" s="291"/>
      <c r="AN60" s="291"/>
      <c r="AO60" s="291"/>
      <c r="AP60" s="291"/>
      <c r="AQ60" s="291"/>
      <c r="AR60" s="291"/>
      <c r="AS60" s="291"/>
      <c r="AT60" s="291"/>
      <c r="AU60" s="291"/>
      <c r="AV60" s="292"/>
    </row>
    <row r="61" spans="1:48" ht="15" customHeight="1">
      <c r="A61" s="160"/>
      <c r="B61" s="291"/>
      <c r="C61" s="291"/>
      <c r="D61" s="291"/>
      <c r="E61" s="291"/>
      <c r="F61" s="291"/>
      <c r="G61" s="291"/>
      <c r="H61" s="291"/>
      <c r="I61" s="291"/>
      <c r="J61" s="291"/>
      <c r="K61" s="291"/>
      <c r="L61" s="291"/>
      <c r="M61" s="291"/>
      <c r="N61" s="291"/>
      <c r="O61" s="291"/>
      <c r="P61" s="291"/>
      <c r="Q61" s="291"/>
      <c r="R61" s="291"/>
      <c r="S61" s="291"/>
      <c r="T61" s="291"/>
      <c r="U61" s="291"/>
      <c r="V61" s="291"/>
      <c r="W61" s="291"/>
      <c r="X61" s="292"/>
      <c r="Y61" s="291"/>
      <c r="Z61" s="291"/>
      <c r="AA61" s="291"/>
      <c r="AB61" s="291"/>
      <c r="AC61" s="291"/>
      <c r="AD61" s="291"/>
      <c r="AE61" s="291"/>
      <c r="AF61" s="291"/>
      <c r="AG61" s="291"/>
      <c r="AH61" s="291"/>
      <c r="AI61" s="291"/>
      <c r="AJ61" s="291"/>
      <c r="AK61" s="291"/>
      <c r="AL61" s="291"/>
      <c r="AM61" s="291"/>
      <c r="AN61" s="291"/>
      <c r="AO61" s="291"/>
      <c r="AP61" s="291"/>
      <c r="AQ61" s="291"/>
      <c r="AR61" s="291"/>
      <c r="AS61" s="291"/>
      <c r="AT61" s="291"/>
      <c r="AU61" s="291"/>
      <c r="AV61" s="292"/>
    </row>
    <row r="62" spans="1:48" ht="15" customHeight="1">
      <c r="A62" s="160"/>
      <c r="B62" s="291"/>
      <c r="C62" s="291"/>
      <c r="D62" s="291"/>
      <c r="E62" s="291"/>
      <c r="F62" s="291"/>
      <c r="G62" s="291"/>
      <c r="H62" s="291"/>
      <c r="I62" s="291"/>
      <c r="J62" s="291"/>
      <c r="K62" s="291"/>
      <c r="L62" s="291"/>
      <c r="M62" s="291"/>
      <c r="N62" s="291"/>
      <c r="O62" s="291"/>
      <c r="P62" s="291"/>
      <c r="Q62" s="291"/>
      <c r="R62" s="291"/>
      <c r="S62" s="291"/>
      <c r="T62" s="291"/>
      <c r="U62" s="291"/>
      <c r="V62" s="291"/>
      <c r="W62" s="291"/>
      <c r="X62" s="292"/>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2"/>
    </row>
    <row r="63" spans="1:48" ht="15" customHeight="1">
      <c r="A63" s="160"/>
      <c r="B63" s="291"/>
      <c r="C63" s="291"/>
      <c r="D63" s="291"/>
      <c r="E63" s="291"/>
      <c r="F63" s="291"/>
      <c r="G63" s="291"/>
      <c r="H63" s="291"/>
      <c r="I63" s="291"/>
      <c r="J63" s="291"/>
      <c r="K63" s="291"/>
      <c r="L63" s="291"/>
      <c r="M63" s="291"/>
      <c r="N63" s="291"/>
      <c r="O63" s="291"/>
      <c r="P63" s="291"/>
      <c r="Q63" s="291"/>
      <c r="R63" s="291"/>
      <c r="S63" s="291"/>
      <c r="T63" s="291"/>
      <c r="U63" s="291"/>
      <c r="V63" s="291"/>
      <c r="W63" s="291"/>
      <c r="X63" s="292"/>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2"/>
    </row>
    <row r="64" spans="1:48" ht="15" customHeight="1">
      <c r="A64" s="160"/>
      <c r="B64" s="291"/>
      <c r="C64" s="291"/>
      <c r="D64" s="291"/>
      <c r="E64" s="291"/>
      <c r="F64" s="291"/>
      <c r="G64" s="291"/>
      <c r="H64" s="291"/>
      <c r="I64" s="291"/>
      <c r="J64" s="291"/>
      <c r="K64" s="291"/>
      <c r="L64" s="291"/>
      <c r="M64" s="291"/>
      <c r="N64" s="291"/>
      <c r="O64" s="291"/>
      <c r="P64" s="291"/>
      <c r="Q64" s="291"/>
      <c r="R64" s="291"/>
      <c r="S64" s="291"/>
      <c r="T64" s="291"/>
      <c r="U64" s="291"/>
      <c r="V64" s="291"/>
      <c r="W64" s="293"/>
      <c r="X64" s="292"/>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2"/>
    </row>
    <row r="65" spans="1:48" ht="15" customHeight="1">
      <c r="A65" s="160"/>
      <c r="B65" s="291"/>
      <c r="C65" s="291"/>
      <c r="D65" s="291"/>
      <c r="E65" s="291"/>
      <c r="F65" s="291"/>
      <c r="G65" s="291"/>
      <c r="H65" s="291"/>
      <c r="I65" s="291"/>
      <c r="J65" s="291"/>
      <c r="K65" s="291"/>
      <c r="L65" s="291"/>
      <c r="M65" s="291"/>
      <c r="N65" s="291"/>
      <c r="O65" s="291"/>
      <c r="P65" s="291"/>
      <c r="Q65" s="291"/>
      <c r="R65" s="291"/>
      <c r="S65" s="291"/>
      <c r="T65" s="291"/>
      <c r="U65" s="291"/>
      <c r="V65" s="291"/>
      <c r="W65" s="291"/>
      <c r="X65" s="292"/>
      <c r="Y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2"/>
    </row>
    <row r="66" spans="1:48" ht="15" customHeight="1">
      <c r="A66" s="160"/>
      <c r="B66" s="291"/>
      <c r="C66" s="291"/>
      <c r="D66" s="291"/>
      <c r="E66" s="291"/>
      <c r="F66" s="291"/>
      <c r="G66" s="291"/>
      <c r="H66" s="291"/>
      <c r="I66" s="291"/>
      <c r="J66" s="291"/>
      <c r="K66" s="291"/>
      <c r="L66" s="291"/>
      <c r="M66" s="291"/>
      <c r="N66" s="291"/>
      <c r="O66" s="291"/>
      <c r="P66" s="291"/>
      <c r="Q66" s="291"/>
      <c r="R66" s="291"/>
      <c r="S66" s="291"/>
      <c r="T66" s="291"/>
      <c r="U66" s="291"/>
      <c r="V66" s="291"/>
      <c r="W66" s="291"/>
      <c r="X66" s="292"/>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2"/>
    </row>
    <row r="67" spans="1:48" ht="15" customHeight="1">
      <c r="A67" s="160"/>
      <c r="B67" s="291"/>
      <c r="C67" s="291"/>
      <c r="D67" s="291"/>
      <c r="E67" s="291"/>
      <c r="F67" s="291"/>
      <c r="G67" s="291"/>
      <c r="H67" s="291"/>
      <c r="I67" s="291"/>
      <c r="J67" s="291"/>
      <c r="K67" s="291"/>
      <c r="L67" s="291"/>
      <c r="M67" s="291"/>
      <c r="N67" s="291"/>
      <c r="O67" s="291"/>
      <c r="P67" s="291"/>
      <c r="Q67" s="291"/>
      <c r="R67" s="291"/>
      <c r="S67" s="291"/>
      <c r="T67" s="291"/>
      <c r="U67" s="291"/>
      <c r="V67" s="291"/>
      <c r="W67" s="291"/>
      <c r="X67" s="292"/>
      <c r="Y67" s="291"/>
      <c r="Z67" s="291"/>
      <c r="AA67" s="291"/>
      <c r="AB67" s="291"/>
      <c r="AC67" s="291"/>
      <c r="AD67" s="291"/>
      <c r="AE67" s="291"/>
      <c r="AF67" s="291"/>
      <c r="AG67" s="291"/>
      <c r="AH67" s="291"/>
      <c r="AI67" s="291"/>
      <c r="AJ67" s="291"/>
      <c r="AK67" s="291"/>
      <c r="AL67" s="291"/>
      <c r="AM67" s="291"/>
      <c r="AN67" s="291"/>
      <c r="AO67" s="291"/>
      <c r="AP67" s="291"/>
      <c r="AQ67" s="291"/>
      <c r="AR67" s="291"/>
      <c r="AS67" s="291"/>
      <c r="AT67" s="291"/>
      <c r="AU67" s="291"/>
      <c r="AV67" s="292"/>
    </row>
    <row r="68" spans="1:48" ht="15" customHeight="1">
      <c r="A68" s="160"/>
      <c r="B68" s="291"/>
      <c r="C68" s="291"/>
      <c r="D68" s="291"/>
      <c r="E68" s="291"/>
      <c r="F68" s="291"/>
      <c r="G68" s="291"/>
      <c r="H68" s="291"/>
      <c r="I68" s="291"/>
      <c r="J68" s="291"/>
      <c r="K68" s="291"/>
      <c r="L68" s="291"/>
      <c r="M68" s="291"/>
      <c r="N68" s="291"/>
      <c r="O68" s="291"/>
      <c r="P68" s="291"/>
      <c r="Q68" s="291"/>
      <c r="R68" s="291"/>
      <c r="S68" s="291"/>
      <c r="T68" s="291"/>
      <c r="U68" s="291"/>
      <c r="V68" s="291"/>
      <c r="W68" s="291"/>
      <c r="X68" s="292"/>
      <c r="Y68" s="291"/>
      <c r="Z68" s="291"/>
      <c r="AA68" s="291"/>
      <c r="AB68" s="291"/>
      <c r="AC68" s="291"/>
      <c r="AD68" s="291"/>
      <c r="AE68" s="291"/>
      <c r="AF68" s="291"/>
      <c r="AG68" s="291"/>
      <c r="AH68" s="291"/>
      <c r="AI68" s="291"/>
      <c r="AJ68" s="291"/>
      <c r="AK68" s="291"/>
      <c r="AL68" s="291"/>
      <c r="AM68" s="291"/>
      <c r="AN68" s="291"/>
      <c r="AO68" s="291"/>
      <c r="AP68" s="291"/>
      <c r="AQ68" s="291"/>
      <c r="AR68" s="291"/>
      <c r="AS68" s="291"/>
      <c r="AT68" s="291"/>
      <c r="AU68" s="291"/>
      <c r="AV68" s="292"/>
    </row>
    <row r="69" spans="1:48" ht="15" customHeight="1">
      <c r="A69" s="160"/>
      <c r="B69" s="291"/>
      <c r="C69" s="291"/>
      <c r="D69" s="291"/>
      <c r="E69" s="291"/>
      <c r="F69" s="291"/>
      <c r="G69" s="291"/>
      <c r="H69" s="291"/>
      <c r="I69" s="291"/>
      <c r="J69" s="291"/>
      <c r="K69" s="291"/>
      <c r="L69" s="291"/>
      <c r="M69" s="291"/>
      <c r="N69" s="291"/>
      <c r="O69" s="291"/>
      <c r="P69" s="291"/>
      <c r="Q69" s="291"/>
      <c r="R69" s="291"/>
      <c r="S69" s="291"/>
      <c r="T69" s="291"/>
      <c r="U69" s="291"/>
      <c r="V69" s="291"/>
      <c r="W69" s="291"/>
      <c r="X69" s="292"/>
      <c r="Y69" s="291"/>
      <c r="Z69" s="291"/>
      <c r="AA69" s="291"/>
      <c r="AB69" s="291"/>
      <c r="AC69" s="291"/>
      <c r="AD69" s="291"/>
      <c r="AE69" s="291"/>
      <c r="AF69" s="291"/>
      <c r="AG69" s="291"/>
      <c r="AH69" s="291"/>
      <c r="AI69" s="291"/>
      <c r="AJ69" s="291"/>
      <c r="AK69" s="291"/>
      <c r="AL69" s="291"/>
      <c r="AM69" s="291"/>
      <c r="AN69" s="291"/>
      <c r="AO69" s="291"/>
      <c r="AP69" s="291"/>
      <c r="AQ69" s="291"/>
      <c r="AR69" s="291"/>
      <c r="AS69" s="291"/>
      <c r="AT69" s="291"/>
      <c r="AU69" s="291"/>
      <c r="AV69" s="292"/>
    </row>
    <row r="70" spans="1:48" ht="15" customHeight="1">
      <c r="A70" s="160"/>
      <c r="B70" s="291"/>
      <c r="C70" s="291"/>
      <c r="D70" s="291"/>
      <c r="E70" s="291"/>
      <c r="F70" s="291"/>
      <c r="G70" s="291"/>
      <c r="H70" s="291"/>
      <c r="I70" s="291"/>
      <c r="J70" s="291"/>
      <c r="K70" s="291"/>
      <c r="L70" s="291"/>
      <c r="M70" s="291"/>
      <c r="N70" s="291"/>
      <c r="O70" s="291"/>
      <c r="P70" s="291"/>
      <c r="Q70" s="291"/>
      <c r="R70" s="291"/>
      <c r="S70" s="291"/>
      <c r="T70" s="291"/>
      <c r="U70" s="291"/>
      <c r="V70" s="291"/>
      <c r="W70" s="291"/>
      <c r="X70" s="292"/>
      <c r="Y70" s="291"/>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291"/>
      <c r="AV70" s="292"/>
    </row>
    <row r="71" spans="1:48" ht="15" customHeight="1">
      <c r="A71" s="160"/>
      <c r="B71" s="291"/>
      <c r="C71" s="291"/>
      <c r="D71" s="291"/>
      <c r="E71" s="291"/>
      <c r="F71" s="291"/>
      <c r="G71" s="291"/>
      <c r="H71" s="291"/>
      <c r="I71" s="291"/>
      <c r="J71" s="291"/>
      <c r="K71" s="291"/>
      <c r="L71" s="291"/>
      <c r="M71" s="291"/>
      <c r="N71" s="291"/>
      <c r="O71" s="291"/>
      <c r="P71" s="291"/>
      <c r="Q71" s="291"/>
      <c r="R71" s="291"/>
      <c r="S71" s="291"/>
      <c r="T71" s="291"/>
      <c r="U71" s="291"/>
      <c r="V71" s="291"/>
      <c r="W71" s="291"/>
      <c r="X71" s="292"/>
      <c r="Y71" s="291"/>
      <c r="Z71" s="291"/>
      <c r="AA71" s="291"/>
      <c r="AB71" s="291"/>
      <c r="AC71" s="291"/>
      <c r="AD71" s="291"/>
      <c r="AE71" s="291"/>
      <c r="AF71" s="291"/>
      <c r="AG71" s="291"/>
      <c r="AH71" s="291"/>
      <c r="AI71" s="291"/>
      <c r="AJ71" s="291"/>
      <c r="AK71" s="291"/>
      <c r="AL71" s="291"/>
      <c r="AM71" s="291"/>
      <c r="AN71" s="291"/>
      <c r="AO71" s="291"/>
      <c r="AP71" s="291"/>
      <c r="AQ71" s="291"/>
      <c r="AR71" s="291"/>
      <c r="AS71" s="291"/>
      <c r="AT71" s="291"/>
      <c r="AU71" s="291"/>
      <c r="AV71" s="292"/>
    </row>
    <row r="72" spans="1:48" ht="15" customHeight="1">
      <c r="A72" s="160"/>
      <c r="B72" s="291"/>
      <c r="C72" s="291"/>
      <c r="D72" s="291"/>
      <c r="E72" s="291"/>
      <c r="F72" s="291"/>
      <c r="G72" s="291"/>
      <c r="H72" s="291"/>
      <c r="I72" s="291"/>
      <c r="J72" s="291"/>
      <c r="K72" s="291"/>
      <c r="L72" s="291"/>
      <c r="M72" s="291"/>
      <c r="N72" s="291"/>
      <c r="O72" s="291"/>
      <c r="P72" s="291"/>
      <c r="Q72" s="291"/>
      <c r="R72" s="291"/>
      <c r="S72" s="291"/>
      <c r="T72" s="291"/>
      <c r="U72" s="291"/>
      <c r="V72" s="291"/>
      <c r="W72" s="291"/>
      <c r="X72" s="292"/>
      <c r="Y72" s="291"/>
      <c r="Z72" s="291"/>
      <c r="AA72" s="291"/>
      <c r="AB72" s="291"/>
      <c r="AC72" s="291"/>
      <c r="AD72" s="291"/>
      <c r="AE72" s="291"/>
      <c r="AF72" s="291"/>
      <c r="AG72" s="291"/>
      <c r="AH72" s="291"/>
      <c r="AI72" s="291"/>
      <c r="AJ72" s="291"/>
      <c r="AK72" s="291"/>
      <c r="AL72" s="291"/>
      <c r="AM72" s="291"/>
      <c r="AN72" s="291"/>
      <c r="AO72" s="291"/>
      <c r="AP72" s="291"/>
      <c r="AQ72" s="291"/>
      <c r="AR72" s="291"/>
      <c r="AS72" s="291"/>
      <c r="AT72" s="291"/>
      <c r="AU72" s="291"/>
      <c r="AV72" s="292"/>
    </row>
    <row r="73" spans="1:48" ht="15" customHeight="1">
      <c r="A73" s="160"/>
      <c r="B73" s="291"/>
      <c r="C73" s="291"/>
      <c r="D73" s="291"/>
      <c r="E73" s="291"/>
      <c r="F73" s="291"/>
      <c r="G73" s="291"/>
      <c r="H73" s="291"/>
      <c r="I73" s="291"/>
      <c r="J73" s="291"/>
      <c r="K73" s="291"/>
      <c r="L73" s="291"/>
      <c r="M73" s="291"/>
      <c r="N73" s="291"/>
      <c r="O73" s="291"/>
      <c r="P73" s="291"/>
      <c r="Q73" s="291"/>
      <c r="R73" s="291"/>
      <c r="S73" s="291"/>
      <c r="T73" s="291"/>
      <c r="U73" s="291"/>
      <c r="V73" s="291"/>
      <c r="W73" s="291"/>
      <c r="X73" s="292"/>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2"/>
    </row>
    <row r="74" spans="1:48" ht="15" customHeight="1">
      <c r="A74" s="160"/>
      <c r="B74" s="291"/>
      <c r="C74" s="291"/>
      <c r="D74" s="291"/>
      <c r="E74" s="291"/>
      <c r="F74" s="291"/>
      <c r="G74" s="291"/>
      <c r="H74" s="291"/>
      <c r="I74" s="291"/>
      <c r="J74" s="291"/>
      <c r="K74" s="291"/>
      <c r="L74" s="291"/>
      <c r="M74" s="291"/>
      <c r="N74" s="291"/>
      <c r="O74" s="291"/>
      <c r="P74" s="291"/>
      <c r="Q74" s="291"/>
      <c r="R74" s="291"/>
      <c r="S74" s="291"/>
      <c r="T74" s="291"/>
      <c r="U74" s="291"/>
      <c r="V74" s="291"/>
      <c r="W74" s="291"/>
      <c r="X74" s="292"/>
      <c r="Y74" s="291"/>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2"/>
    </row>
    <row r="75" spans="1:48" ht="15" customHeight="1">
      <c r="A75" s="160"/>
      <c r="B75" s="291"/>
      <c r="C75" s="291"/>
      <c r="D75" s="291"/>
      <c r="E75" s="291"/>
      <c r="F75" s="291"/>
      <c r="G75" s="291"/>
      <c r="H75" s="291"/>
      <c r="I75" s="291"/>
      <c r="J75" s="291"/>
      <c r="K75" s="291"/>
      <c r="L75" s="291"/>
      <c r="M75" s="291"/>
      <c r="N75" s="291"/>
      <c r="O75" s="291"/>
      <c r="P75" s="291"/>
      <c r="Q75" s="291"/>
      <c r="R75" s="291"/>
      <c r="S75" s="291"/>
      <c r="T75" s="291"/>
      <c r="U75" s="291"/>
      <c r="V75" s="291"/>
      <c r="W75" s="291"/>
      <c r="X75" s="292"/>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2"/>
    </row>
    <row r="76" spans="1:48" ht="15" customHeight="1">
      <c r="A76" s="160"/>
      <c r="B76" s="291"/>
      <c r="C76" s="291"/>
      <c r="D76" s="291"/>
      <c r="E76" s="291"/>
      <c r="F76" s="291"/>
      <c r="G76" s="291"/>
      <c r="H76" s="291"/>
      <c r="I76" s="291"/>
      <c r="J76" s="291"/>
      <c r="K76" s="291"/>
      <c r="L76" s="291"/>
      <c r="M76" s="291"/>
      <c r="N76" s="291"/>
      <c r="O76" s="291"/>
      <c r="P76" s="291"/>
      <c r="Q76" s="291"/>
      <c r="R76" s="291"/>
      <c r="S76" s="291"/>
      <c r="T76" s="291"/>
      <c r="U76" s="291"/>
      <c r="V76" s="291"/>
      <c r="W76" s="291"/>
      <c r="X76" s="292"/>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2"/>
    </row>
    <row r="77" spans="1:48" ht="15" customHeight="1">
      <c r="A77" s="160"/>
      <c r="B77" s="291"/>
      <c r="C77" s="291"/>
      <c r="D77" s="291"/>
      <c r="E77" s="291"/>
      <c r="F77" s="291"/>
      <c r="G77" s="291"/>
      <c r="H77" s="291"/>
      <c r="I77" s="291"/>
      <c r="J77" s="291"/>
      <c r="K77" s="291"/>
      <c r="L77" s="291"/>
      <c r="M77" s="291"/>
      <c r="N77" s="291"/>
      <c r="O77" s="291"/>
      <c r="P77" s="291"/>
      <c r="Q77" s="291"/>
      <c r="R77" s="291"/>
      <c r="S77" s="291"/>
      <c r="T77" s="291"/>
      <c r="U77" s="291"/>
      <c r="V77" s="291"/>
      <c r="W77" s="291"/>
      <c r="X77" s="292"/>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2"/>
    </row>
    <row r="78" spans="1:48" ht="15" customHeight="1">
      <c r="A78" s="161"/>
      <c r="B78" s="294"/>
      <c r="C78" s="294"/>
      <c r="D78" s="294"/>
      <c r="E78" s="294"/>
      <c r="F78" s="294"/>
      <c r="G78" s="294"/>
      <c r="H78" s="294"/>
      <c r="I78" s="294"/>
      <c r="J78" s="294"/>
      <c r="K78" s="294"/>
      <c r="L78" s="294"/>
      <c r="M78" s="294"/>
      <c r="N78" s="294"/>
      <c r="O78" s="294"/>
      <c r="P78" s="294"/>
      <c r="Q78" s="294"/>
      <c r="R78" s="294"/>
      <c r="S78" s="294"/>
      <c r="T78" s="294"/>
      <c r="U78" s="294"/>
      <c r="V78" s="294"/>
      <c r="W78" s="294"/>
      <c r="X78" s="295"/>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5"/>
    </row>
    <row r="79" spans="1:48" ht="15" customHeight="1">
      <c r="A79" s="160"/>
      <c r="B79" s="291"/>
      <c r="C79" s="291"/>
      <c r="D79" s="291"/>
      <c r="E79" s="291"/>
      <c r="F79" s="291"/>
      <c r="G79" s="291"/>
      <c r="H79" s="291"/>
      <c r="I79" s="291"/>
      <c r="J79" s="291"/>
      <c r="K79" s="291"/>
      <c r="L79" s="291"/>
      <c r="M79" s="291"/>
      <c r="N79" s="291"/>
      <c r="O79" s="291"/>
      <c r="P79" s="291"/>
      <c r="Q79" s="291"/>
      <c r="R79" s="291"/>
      <c r="S79" s="291"/>
      <c r="T79" s="291"/>
      <c r="U79" s="291"/>
      <c r="V79" s="291"/>
      <c r="W79" s="291"/>
      <c r="X79" s="292"/>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2"/>
    </row>
    <row r="80" spans="1:48" ht="15" customHeight="1">
      <c r="A80" s="160"/>
      <c r="B80" s="291"/>
      <c r="C80" s="291"/>
      <c r="D80" s="291"/>
      <c r="E80" s="291"/>
      <c r="F80" s="291"/>
      <c r="G80" s="291"/>
      <c r="H80" s="291"/>
      <c r="I80" s="291"/>
      <c r="J80" s="291"/>
      <c r="K80" s="291"/>
      <c r="L80" s="291"/>
      <c r="M80" s="291"/>
      <c r="N80" s="291"/>
      <c r="O80" s="291"/>
      <c r="P80" s="291"/>
      <c r="Q80" s="291"/>
      <c r="R80" s="291"/>
      <c r="S80" s="291"/>
      <c r="T80" s="291"/>
      <c r="U80" s="291"/>
      <c r="V80" s="291"/>
      <c r="W80" s="291"/>
      <c r="X80" s="292"/>
      <c r="Y80" s="291"/>
      <c r="Z80" s="291"/>
      <c r="AA80" s="291"/>
      <c r="AB80" s="291"/>
      <c r="AC80" s="291"/>
      <c r="AD80" s="291"/>
      <c r="AE80" s="291"/>
      <c r="AF80" s="291"/>
      <c r="AG80" s="291"/>
      <c r="AH80" s="291"/>
      <c r="AI80" s="291"/>
      <c r="AJ80" s="291"/>
      <c r="AK80" s="291"/>
      <c r="AL80" s="291"/>
      <c r="AM80" s="291"/>
      <c r="AN80" s="291"/>
      <c r="AO80" s="291"/>
      <c r="AP80" s="291"/>
      <c r="AQ80" s="291"/>
      <c r="AR80" s="291"/>
      <c r="AS80" s="291"/>
      <c r="AT80" s="291"/>
      <c r="AU80" s="291"/>
      <c r="AV80" s="292"/>
    </row>
    <row r="81" spans="1:48" ht="15" customHeight="1">
      <c r="A81" s="160"/>
      <c r="B81" s="291"/>
      <c r="C81" s="291"/>
      <c r="D81" s="291"/>
      <c r="E81" s="291"/>
      <c r="F81" s="291"/>
      <c r="G81" s="291"/>
      <c r="H81" s="291"/>
      <c r="I81" s="291"/>
      <c r="J81" s="291"/>
      <c r="K81" s="291"/>
      <c r="L81" s="291"/>
      <c r="M81" s="291"/>
      <c r="N81" s="291"/>
      <c r="O81" s="291"/>
      <c r="P81" s="291"/>
      <c r="Q81" s="291"/>
      <c r="R81" s="291"/>
      <c r="S81" s="291"/>
      <c r="T81" s="291"/>
      <c r="U81" s="291"/>
      <c r="V81" s="291"/>
      <c r="W81" s="291"/>
      <c r="X81" s="292"/>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2"/>
    </row>
    <row r="82" spans="1:48" ht="15" customHeight="1">
      <c r="A82" s="160"/>
      <c r="B82" s="291"/>
      <c r="C82" s="291"/>
      <c r="D82" s="291"/>
      <c r="E82" s="291"/>
      <c r="F82" s="291"/>
      <c r="G82" s="291"/>
      <c r="H82" s="291"/>
      <c r="I82" s="291"/>
      <c r="J82" s="291"/>
      <c r="K82" s="291"/>
      <c r="L82" s="291"/>
      <c r="M82" s="291"/>
      <c r="N82" s="291"/>
      <c r="O82" s="291"/>
      <c r="P82" s="291"/>
      <c r="Q82" s="291"/>
      <c r="R82" s="291"/>
      <c r="S82" s="291"/>
      <c r="T82" s="291"/>
      <c r="U82" s="291"/>
      <c r="V82" s="291"/>
      <c r="W82" s="291"/>
      <c r="X82" s="292"/>
      <c r="Y82" s="291"/>
      <c r="Z82" s="291"/>
      <c r="AA82" s="291"/>
      <c r="AB82" s="291"/>
      <c r="AC82" s="291"/>
      <c r="AD82" s="291"/>
      <c r="AE82" s="291"/>
      <c r="AF82" s="291"/>
      <c r="AG82" s="291"/>
      <c r="AH82" s="291"/>
      <c r="AI82" s="291"/>
      <c r="AJ82" s="291"/>
      <c r="AK82" s="291"/>
      <c r="AL82" s="291"/>
      <c r="AM82" s="291"/>
      <c r="AN82" s="291"/>
      <c r="AO82" s="291"/>
      <c r="AP82" s="291"/>
      <c r="AQ82" s="291"/>
      <c r="AR82" s="291"/>
      <c r="AS82" s="291"/>
      <c r="AT82" s="291"/>
      <c r="AU82" s="291"/>
      <c r="AV82" s="292"/>
    </row>
    <row r="83" spans="1:48" ht="15" customHeight="1">
      <c r="A83" s="160"/>
      <c r="B83" s="291"/>
      <c r="C83" s="291"/>
      <c r="D83" s="291"/>
      <c r="E83" s="291"/>
      <c r="F83" s="291"/>
      <c r="G83" s="291"/>
      <c r="H83" s="291"/>
      <c r="I83" s="291"/>
      <c r="J83" s="291"/>
      <c r="K83" s="291"/>
      <c r="L83" s="291"/>
      <c r="M83" s="291"/>
      <c r="N83" s="291"/>
      <c r="O83" s="291"/>
      <c r="P83" s="291"/>
      <c r="Q83" s="291"/>
      <c r="R83" s="291"/>
      <c r="S83" s="291"/>
      <c r="T83" s="291"/>
      <c r="U83" s="291"/>
      <c r="V83" s="291"/>
      <c r="W83" s="291"/>
      <c r="X83" s="292"/>
      <c r="Y83" s="291"/>
      <c r="Z83" s="291"/>
      <c r="AA83" s="291"/>
      <c r="AB83" s="291"/>
      <c r="AC83" s="291"/>
      <c r="AD83" s="291"/>
      <c r="AE83" s="291"/>
      <c r="AF83" s="291"/>
      <c r="AG83" s="291"/>
      <c r="AH83" s="291"/>
      <c r="AI83" s="291"/>
      <c r="AJ83" s="291"/>
      <c r="AK83" s="291"/>
      <c r="AL83" s="291"/>
      <c r="AM83" s="291"/>
      <c r="AN83" s="291"/>
      <c r="AO83" s="291"/>
      <c r="AP83" s="291"/>
      <c r="AQ83" s="291"/>
      <c r="AR83" s="291"/>
      <c r="AS83" s="291"/>
      <c r="AT83" s="291"/>
      <c r="AU83" s="291"/>
      <c r="AV83" s="292"/>
    </row>
    <row r="84" spans="1:48" ht="15" customHeight="1">
      <c r="A84" s="160"/>
      <c r="B84" s="291"/>
      <c r="C84" s="291"/>
      <c r="D84" s="291"/>
      <c r="E84" s="291"/>
      <c r="F84" s="291"/>
      <c r="G84" s="291"/>
      <c r="H84" s="291"/>
      <c r="I84" s="291"/>
      <c r="J84" s="291"/>
      <c r="K84" s="291"/>
      <c r="L84" s="291"/>
      <c r="M84" s="291"/>
      <c r="N84" s="291"/>
      <c r="O84" s="291"/>
      <c r="P84" s="291"/>
      <c r="Q84" s="291"/>
      <c r="R84" s="291"/>
      <c r="S84" s="291"/>
      <c r="T84" s="291"/>
      <c r="U84" s="291"/>
      <c r="V84" s="291"/>
      <c r="W84" s="291"/>
      <c r="X84" s="292"/>
      <c r="Y84" s="291"/>
      <c r="Z84" s="291"/>
      <c r="AA84" s="291"/>
      <c r="AB84" s="291"/>
      <c r="AC84" s="291"/>
      <c r="AD84" s="291"/>
      <c r="AE84" s="291"/>
      <c r="AF84" s="291"/>
      <c r="AG84" s="291"/>
      <c r="AH84" s="291"/>
      <c r="AI84" s="291"/>
      <c r="AJ84" s="291"/>
      <c r="AK84" s="291"/>
      <c r="AL84" s="291"/>
      <c r="AM84" s="291"/>
      <c r="AN84" s="291"/>
      <c r="AO84" s="291"/>
      <c r="AP84" s="291"/>
      <c r="AQ84" s="291"/>
      <c r="AR84" s="291"/>
      <c r="AS84" s="291"/>
      <c r="AT84" s="291"/>
      <c r="AU84" s="291"/>
      <c r="AV84" s="292"/>
    </row>
    <row r="85" spans="1:48" ht="15" customHeight="1">
      <c r="A85" s="160"/>
      <c r="B85" s="291"/>
      <c r="C85" s="291"/>
      <c r="D85" s="291"/>
      <c r="E85" s="291"/>
      <c r="F85" s="291"/>
      <c r="G85" s="291"/>
      <c r="H85" s="291"/>
      <c r="I85" s="291"/>
      <c r="J85" s="291"/>
      <c r="K85" s="291"/>
      <c r="L85" s="291"/>
      <c r="M85" s="291"/>
      <c r="N85" s="291"/>
      <c r="O85" s="291"/>
      <c r="P85" s="291"/>
      <c r="Q85" s="291"/>
      <c r="R85" s="291"/>
      <c r="S85" s="291"/>
      <c r="T85" s="291"/>
      <c r="U85" s="291"/>
      <c r="V85" s="291"/>
      <c r="W85" s="291"/>
      <c r="X85" s="292"/>
      <c r="Y85" s="291"/>
      <c r="Z85" s="291"/>
      <c r="AA85" s="291"/>
      <c r="AB85" s="291"/>
      <c r="AC85" s="291"/>
      <c r="AD85" s="291"/>
      <c r="AE85" s="291"/>
      <c r="AF85" s="291"/>
      <c r="AG85" s="291"/>
      <c r="AH85" s="291"/>
      <c r="AI85" s="291"/>
      <c r="AJ85" s="291"/>
      <c r="AK85" s="291"/>
      <c r="AL85" s="291"/>
      <c r="AM85" s="291"/>
      <c r="AN85" s="291"/>
      <c r="AO85" s="291"/>
      <c r="AP85" s="291"/>
      <c r="AQ85" s="291"/>
      <c r="AR85" s="291"/>
      <c r="AS85" s="291"/>
      <c r="AT85" s="291"/>
      <c r="AU85" s="291"/>
      <c r="AV85" s="292"/>
    </row>
    <row r="86" spans="1:48" ht="15" customHeight="1">
      <c r="A86" s="160"/>
      <c r="B86" s="291"/>
      <c r="C86" s="291"/>
      <c r="D86" s="291"/>
      <c r="E86" s="291"/>
      <c r="F86" s="291"/>
      <c r="G86" s="291"/>
      <c r="H86" s="291"/>
      <c r="I86" s="291"/>
      <c r="J86" s="291"/>
      <c r="K86" s="291"/>
      <c r="L86" s="291"/>
      <c r="M86" s="291"/>
      <c r="N86" s="291"/>
      <c r="O86" s="291"/>
      <c r="P86" s="291"/>
      <c r="Q86" s="291"/>
      <c r="R86" s="291"/>
      <c r="S86" s="291"/>
      <c r="T86" s="291"/>
      <c r="U86" s="291"/>
      <c r="V86" s="291"/>
      <c r="W86" s="291"/>
      <c r="X86" s="292"/>
      <c r="Y86" s="291"/>
      <c r="Z86" s="291"/>
      <c r="AA86" s="291"/>
      <c r="AB86" s="291"/>
      <c r="AC86" s="291"/>
      <c r="AD86" s="291"/>
      <c r="AE86" s="291"/>
      <c r="AF86" s="291"/>
      <c r="AG86" s="291"/>
      <c r="AH86" s="291"/>
      <c r="AI86" s="291"/>
      <c r="AJ86" s="291"/>
      <c r="AK86" s="291"/>
      <c r="AL86" s="291"/>
      <c r="AM86" s="291"/>
      <c r="AN86" s="291"/>
      <c r="AO86" s="291"/>
      <c r="AP86" s="291"/>
      <c r="AQ86" s="291"/>
      <c r="AR86" s="291"/>
      <c r="AS86" s="291"/>
      <c r="AT86" s="291"/>
      <c r="AU86" s="291"/>
      <c r="AV86" s="292"/>
    </row>
    <row r="87" spans="1:48" ht="15" customHeight="1">
      <c r="A87" s="160"/>
      <c r="B87" s="291"/>
      <c r="C87" s="291"/>
      <c r="D87" s="291"/>
      <c r="E87" s="291"/>
      <c r="F87" s="291"/>
      <c r="G87" s="291"/>
      <c r="H87" s="291"/>
      <c r="I87" s="291"/>
      <c r="J87" s="291"/>
      <c r="K87" s="291"/>
      <c r="L87" s="291"/>
      <c r="M87" s="291"/>
      <c r="N87" s="291"/>
      <c r="O87" s="291"/>
      <c r="P87" s="291"/>
      <c r="Q87" s="291"/>
      <c r="R87" s="291"/>
      <c r="S87" s="291"/>
      <c r="T87" s="291"/>
      <c r="U87" s="291"/>
      <c r="V87" s="291"/>
      <c r="W87" s="291"/>
      <c r="X87" s="292"/>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2"/>
    </row>
    <row r="88" spans="1:48" ht="15" customHeight="1">
      <c r="A88" s="160"/>
      <c r="B88" s="291"/>
      <c r="C88" s="291"/>
      <c r="D88" s="291"/>
      <c r="E88" s="291"/>
      <c r="F88" s="291"/>
      <c r="G88" s="291"/>
      <c r="H88" s="291"/>
      <c r="I88" s="291"/>
      <c r="J88" s="291"/>
      <c r="K88" s="291"/>
      <c r="L88" s="291"/>
      <c r="M88" s="291"/>
      <c r="N88" s="291"/>
      <c r="O88" s="291"/>
      <c r="P88" s="291"/>
      <c r="Q88" s="291"/>
      <c r="R88" s="291"/>
      <c r="S88" s="291"/>
      <c r="T88" s="291"/>
      <c r="U88" s="291"/>
      <c r="V88" s="291"/>
      <c r="W88" s="291"/>
      <c r="X88" s="292"/>
      <c r="Y88" s="291"/>
      <c r="Z88" s="291"/>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2"/>
    </row>
    <row r="89" spans="1:48" ht="15" customHeight="1">
      <c r="A89" s="160"/>
      <c r="B89" s="291"/>
      <c r="C89" s="291"/>
      <c r="D89" s="291"/>
      <c r="E89" s="291"/>
      <c r="F89" s="291"/>
      <c r="G89" s="291"/>
      <c r="H89" s="291"/>
      <c r="I89" s="291"/>
      <c r="J89" s="291"/>
      <c r="K89" s="291"/>
      <c r="L89" s="291"/>
      <c r="M89" s="291"/>
      <c r="N89" s="291"/>
      <c r="O89" s="291"/>
      <c r="P89" s="291"/>
      <c r="Q89" s="291"/>
      <c r="R89" s="291"/>
      <c r="S89" s="291"/>
      <c r="T89" s="291"/>
      <c r="U89" s="291"/>
      <c r="V89" s="291"/>
      <c r="W89" s="291"/>
      <c r="X89" s="292"/>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2"/>
    </row>
    <row r="90" spans="1:48" ht="15" customHeight="1">
      <c r="A90" s="160"/>
      <c r="B90" s="291"/>
      <c r="C90" s="291"/>
      <c r="D90" s="291"/>
      <c r="E90" s="291"/>
      <c r="F90" s="291"/>
      <c r="G90" s="291"/>
      <c r="H90" s="291"/>
      <c r="I90" s="291"/>
      <c r="J90" s="291"/>
      <c r="K90" s="291"/>
      <c r="L90" s="291"/>
      <c r="M90" s="291"/>
      <c r="N90" s="291"/>
      <c r="O90" s="291"/>
      <c r="P90" s="291"/>
      <c r="Q90" s="291"/>
      <c r="R90" s="291"/>
      <c r="S90" s="291"/>
      <c r="T90" s="291"/>
      <c r="U90" s="291"/>
      <c r="V90" s="291"/>
      <c r="W90" s="291"/>
      <c r="X90" s="292"/>
      <c r="Y90" s="291"/>
      <c r="Z90" s="291"/>
      <c r="AA90" s="291"/>
      <c r="AB90" s="291"/>
      <c r="AC90" s="291"/>
      <c r="AD90" s="291"/>
      <c r="AE90" s="291"/>
      <c r="AF90" s="291"/>
      <c r="AG90" s="291"/>
      <c r="AH90" s="291"/>
      <c r="AI90" s="291"/>
      <c r="AJ90" s="291"/>
      <c r="AK90" s="291"/>
      <c r="AL90" s="291"/>
      <c r="AM90" s="291"/>
      <c r="AN90" s="291"/>
      <c r="AO90" s="291"/>
      <c r="AP90" s="291"/>
      <c r="AQ90" s="291"/>
      <c r="AR90" s="291"/>
      <c r="AS90" s="291"/>
      <c r="AT90" s="291"/>
      <c r="AU90" s="291"/>
      <c r="AV90" s="292"/>
    </row>
    <row r="91" spans="1:48" ht="15" customHeight="1">
      <c r="A91" s="160"/>
      <c r="B91" s="291"/>
      <c r="C91" s="291"/>
      <c r="D91" s="291"/>
      <c r="E91" s="291"/>
      <c r="F91" s="291"/>
      <c r="G91" s="291"/>
      <c r="H91" s="291"/>
      <c r="I91" s="291"/>
      <c r="J91" s="291"/>
      <c r="K91" s="291"/>
      <c r="L91" s="291"/>
      <c r="M91" s="291"/>
      <c r="N91" s="291"/>
      <c r="O91" s="291"/>
      <c r="P91" s="291"/>
      <c r="Q91" s="291"/>
      <c r="R91" s="291"/>
      <c r="S91" s="291"/>
      <c r="T91" s="291"/>
      <c r="U91" s="291"/>
      <c r="V91" s="291"/>
      <c r="W91" s="291"/>
      <c r="X91" s="292"/>
      <c r="Y91" s="291"/>
      <c r="Z91" s="291"/>
      <c r="AA91" s="291"/>
      <c r="AB91" s="291"/>
      <c r="AC91" s="291"/>
      <c r="AD91" s="291"/>
      <c r="AE91" s="291"/>
      <c r="AF91" s="291"/>
      <c r="AG91" s="291"/>
      <c r="AH91" s="291"/>
      <c r="AI91" s="291"/>
      <c r="AJ91" s="291"/>
      <c r="AK91" s="291"/>
      <c r="AL91" s="291"/>
      <c r="AM91" s="291"/>
      <c r="AN91" s="291"/>
      <c r="AO91" s="291"/>
      <c r="AP91" s="291"/>
      <c r="AQ91" s="291"/>
      <c r="AR91" s="291"/>
      <c r="AS91" s="291"/>
      <c r="AT91" s="291"/>
      <c r="AU91" s="291"/>
      <c r="AV91" s="292"/>
    </row>
    <row r="92" spans="1:48" ht="15" customHeight="1">
      <c r="A92" s="160"/>
      <c r="B92" s="291"/>
      <c r="C92" s="291"/>
      <c r="D92" s="291"/>
      <c r="E92" s="291"/>
      <c r="F92" s="291"/>
      <c r="G92" s="291"/>
      <c r="H92" s="291"/>
      <c r="I92" s="291"/>
      <c r="J92" s="291"/>
      <c r="K92" s="291"/>
      <c r="L92" s="291"/>
      <c r="M92" s="291"/>
      <c r="N92" s="291"/>
      <c r="O92" s="291"/>
      <c r="P92" s="291"/>
      <c r="Q92" s="291"/>
      <c r="R92" s="291"/>
      <c r="S92" s="291"/>
      <c r="T92" s="291"/>
      <c r="U92" s="291"/>
      <c r="V92" s="291"/>
      <c r="W92" s="291"/>
      <c r="X92" s="292"/>
      <c r="Y92" s="291"/>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2"/>
    </row>
    <row r="93" spans="1:48" ht="15" customHeight="1">
      <c r="A93" s="160"/>
      <c r="B93" s="291"/>
      <c r="C93" s="291"/>
      <c r="D93" s="291"/>
      <c r="E93" s="291"/>
      <c r="F93" s="291"/>
      <c r="G93" s="291"/>
      <c r="H93" s="291"/>
      <c r="I93" s="291"/>
      <c r="J93" s="291"/>
      <c r="K93" s="291"/>
      <c r="L93" s="291"/>
      <c r="M93" s="291"/>
      <c r="N93" s="291"/>
      <c r="O93" s="291"/>
      <c r="P93" s="291"/>
      <c r="Q93" s="291"/>
      <c r="R93" s="291"/>
      <c r="S93" s="291"/>
      <c r="T93" s="291"/>
      <c r="U93" s="291"/>
      <c r="V93" s="291"/>
      <c r="W93" s="291"/>
      <c r="X93" s="292"/>
      <c r="Y93" s="291"/>
      <c r="Z93" s="291"/>
      <c r="AA93" s="291"/>
      <c r="AB93" s="291"/>
      <c r="AC93" s="291"/>
      <c r="AD93" s="291"/>
      <c r="AE93" s="291"/>
      <c r="AF93" s="291"/>
      <c r="AG93" s="291"/>
      <c r="AH93" s="291"/>
      <c r="AI93" s="291"/>
      <c r="AJ93" s="291"/>
      <c r="AK93" s="291"/>
      <c r="AL93" s="291"/>
      <c r="AM93" s="291"/>
      <c r="AN93" s="291"/>
      <c r="AO93" s="291"/>
      <c r="AP93" s="291"/>
      <c r="AQ93" s="291"/>
      <c r="AR93" s="291"/>
      <c r="AS93" s="291"/>
      <c r="AT93" s="291"/>
      <c r="AU93" s="291"/>
      <c r="AV93" s="292"/>
    </row>
    <row r="94" spans="1:48" ht="15" customHeight="1">
      <c r="A94" s="160"/>
      <c r="B94" s="291"/>
      <c r="C94" s="291"/>
      <c r="D94" s="291"/>
      <c r="E94" s="291"/>
      <c r="F94" s="291"/>
      <c r="G94" s="291"/>
      <c r="H94" s="291"/>
      <c r="I94" s="291"/>
      <c r="J94" s="291"/>
      <c r="K94" s="291"/>
      <c r="L94" s="291"/>
      <c r="M94" s="291"/>
      <c r="N94" s="291"/>
      <c r="O94" s="291"/>
      <c r="P94" s="291"/>
      <c r="Q94" s="291"/>
      <c r="R94" s="291"/>
      <c r="S94" s="291"/>
      <c r="T94" s="291"/>
      <c r="U94" s="291"/>
      <c r="V94" s="291"/>
      <c r="W94" s="291"/>
      <c r="X94" s="292"/>
      <c r="Y94" s="291"/>
      <c r="Z94" s="291"/>
      <c r="AA94" s="291"/>
      <c r="AB94" s="291"/>
      <c r="AC94" s="291"/>
      <c r="AD94" s="291"/>
      <c r="AE94" s="291"/>
      <c r="AF94" s="291"/>
      <c r="AG94" s="291"/>
      <c r="AH94" s="291"/>
      <c r="AI94" s="291"/>
      <c r="AJ94" s="291"/>
      <c r="AK94" s="291"/>
      <c r="AL94" s="291"/>
      <c r="AM94" s="291"/>
      <c r="AN94" s="291"/>
      <c r="AO94" s="291"/>
      <c r="AP94" s="291"/>
      <c r="AQ94" s="291"/>
      <c r="AR94" s="291"/>
      <c r="AS94" s="291"/>
      <c r="AT94" s="291"/>
      <c r="AU94" s="291"/>
      <c r="AV94" s="292"/>
    </row>
    <row r="95" spans="1:48" ht="15" customHeight="1">
      <c r="A95" s="160"/>
      <c r="B95" s="291"/>
      <c r="C95" s="291"/>
      <c r="D95" s="291"/>
      <c r="E95" s="291"/>
      <c r="F95" s="291"/>
      <c r="G95" s="291"/>
      <c r="H95" s="291"/>
      <c r="I95" s="291"/>
      <c r="J95" s="291"/>
      <c r="K95" s="291"/>
      <c r="L95" s="291"/>
      <c r="M95" s="291"/>
      <c r="N95" s="291"/>
      <c r="O95" s="291"/>
      <c r="P95" s="291"/>
      <c r="Q95" s="291"/>
      <c r="R95" s="291"/>
      <c r="S95" s="291"/>
      <c r="T95" s="291"/>
      <c r="U95" s="291"/>
      <c r="V95" s="291"/>
      <c r="W95" s="291"/>
      <c r="X95" s="292"/>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2"/>
    </row>
    <row r="96" spans="1:48" ht="15" customHeight="1">
      <c r="A96" s="160"/>
      <c r="B96" s="291"/>
      <c r="C96" s="291"/>
      <c r="D96" s="291"/>
      <c r="E96" s="291"/>
      <c r="F96" s="291"/>
      <c r="G96" s="291"/>
      <c r="H96" s="291"/>
      <c r="I96" s="291"/>
      <c r="J96" s="291"/>
      <c r="K96" s="291"/>
      <c r="L96" s="291"/>
      <c r="M96" s="291"/>
      <c r="N96" s="291"/>
      <c r="O96" s="291"/>
      <c r="P96" s="291"/>
      <c r="Q96" s="291"/>
      <c r="R96" s="291"/>
      <c r="S96" s="291"/>
      <c r="T96" s="291"/>
      <c r="U96" s="291"/>
      <c r="V96" s="291"/>
      <c r="W96" s="291"/>
      <c r="X96" s="292"/>
      <c r="Y96" s="291"/>
      <c r="Z96" s="291"/>
      <c r="AA96" s="291"/>
      <c r="AB96" s="291"/>
      <c r="AC96" s="291"/>
      <c r="AD96" s="291"/>
      <c r="AE96" s="291"/>
      <c r="AF96" s="291"/>
      <c r="AG96" s="291"/>
      <c r="AH96" s="291"/>
      <c r="AI96" s="291"/>
      <c r="AJ96" s="291"/>
      <c r="AK96" s="291"/>
      <c r="AL96" s="291"/>
      <c r="AM96" s="291"/>
      <c r="AN96" s="291"/>
      <c r="AO96" s="291"/>
      <c r="AP96" s="291"/>
      <c r="AQ96" s="291"/>
      <c r="AR96" s="291"/>
      <c r="AS96" s="291"/>
      <c r="AT96" s="291"/>
      <c r="AU96" s="291"/>
      <c r="AV96" s="292"/>
    </row>
    <row r="97" spans="1:48" ht="15" customHeight="1">
      <c r="A97" s="160"/>
      <c r="B97" s="291"/>
      <c r="C97" s="291"/>
      <c r="D97" s="291"/>
      <c r="E97" s="291"/>
      <c r="F97" s="291"/>
      <c r="G97" s="291"/>
      <c r="H97" s="291"/>
      <c r="I97" s="291"/>
      <c r="J97" s="291"/>
      <c r="K97" s="291"/>
      <c r="L97" s="291"/>
      <c r="M97" s="291"/>
      <c r="N97" s="291"/>
      <c r="O97" s="291"/>
      <c r="P97" s="291"/>
      <c r="Q97" s="291"/>
      <c r="R97" s="291"/>
      <c r="S97" s="291"/>
      <c r="T97" s="291"/>
      <c r="U97" s="291"/>
      <c r="V97" s="291"/>
      <c r="W97" s="291"/>
      <c r="X97" s="292"/>
      <c r="Y97" s="291"/>
      <c r="Z97" s="291"/>
      <c r="AA97" s="291"/>
      <c r="AB97" s="291"/>
      <c r="AC97" s="291"/>
      <c r="AD97" s="291"/>
      <c r="AE97" s="291"/>
      <c r="AF97" s="291"/>
      <c r="AG97" s="291"/>
      <c r="AH97" s="291"/>
      <c r="AI97" s="291"/>
      <c r="AJ97" s="291"/>
      <c r="AK97" s="291"/>
      <c r="AL97" s="291"/>
      <c r="AM97" s="291"/>
      <c r="AN97" s="291"/>
      <c r="AO97" s="291"/>
      <c r="AP97" s="291"/>
      <c r="AQ97" s="291"/>
      <c r="AR97" s="291"/>
      <c r="AS97" s="291"/>
      <c r="AT97" s="291"/>
      <c r="AU97" s="291"/>
      <c r="AV97" s="292"/>
    </row>
    <row r="98" spans="1:48" ht="15" customHeight="1">
      <c r="A98" s="160"/>
      <c r="B98" s="291"/>
      <c r="C98" s="291"/>
      <c r="D98" s="291"/>
      <c r="E98" s="291"/>
      <c r="F98" s="291"/>
      <c r="G98" s="291"/>
      <c r="H98" s="291"/>
      <c r="I98" s="291"/>
      <c r="J98" s="291"/>
      <c r="K98" s="291"/>
      <c r="L98" s="291"/>
      <c r="M98" s="291"/>
      <c r="N98" s="291"/>
      <c r="O98" s="291"/>
      <c r="P98" s="291"/>
      <c r="Q98" s="291"/>
      <c r="R98" s="291"/>
      <c r="S98" s="291"/>
      <c r="T98" s="291"/>
      <c r="U98" s="291"/>
      <c r="V98" s="291"/>
      <c r="W98" s="291"/>
      <c r="X98" s="292"/>
      <c r="Y98" s="291"/>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c r="AV98" s="292"/>
    </row>
    <row r="99" spans="1:48" ht="15" customHeight="1">
      <c r="A99" s="160"/>
      <c r="B99" s="291"/>
      <c r="C99" s="291"/>
      <c r="D99" s="291"/>
      <c r="E99" s="291"/>
      <c r="F99" s="291"/>
      <c r="G99" s="291"/>
      <c r="H99" s="291"/>
      <c r="I99" s="291"/>
      <c r="J99" s="291"/>
      <c r="K99" s="291"/>
      <c r="L99" s="291"/>
      <c r="M99" s="291"/>
      <c r="N99" s="291"/>
      <c r="O99" s="291"/>
      <c r="P99" s="291"/>
      <c r="Q99" s="291"/>
      <c r="R99" s="291"/>
      <c r="S99" s="291"/>
      <c r="T99" s="291"/>
      <c r="U99" s="291"/>
      <c r="V99" s="291"/>
      <c r="W99" s="291"/>
      <c r="X99" s="292"/>
      <c r="Y99" s="291"/>
      <c r="Z99" s="291"/>
      <c r="AA99" s="291"/>
      <c r="AB99" s="291"/>
      <c r="AC99" s="291"/>
      <c r="AD99" s="291"/>
      <c r="AE99" s="291"/>
      <c r="AF99" s="291"/>
      <c r="AG99" s="291"/>
      <c r="AH99" s="291"/>
      <c r="AI99" s="291"/>
      <c r="AJ99" s="291"/>
      <c r="AK99" s="291"/>
      <c r="AL99" s="291"/>
      <c r="AM99" s="291"/>
      <c r="AN99" s="291"/>
      <c r="AO99" s="291"/>
      <c r="AP99" s="291"/>
      <c r="AQ99" s="291"/>
      <c r="AR99" s="291"/>
      <c r="AS99" s="291"/>
      <c r="AT99" s="291"/>
      <c r="AU99" s="291"/>
      <c r="AV99" s="292"/>
    </row>
    <row r="100" spans="1:48" ht="15" customHeight="1">
      <c r="A100" s="160"/>
      <c r="B100" s="291"/>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2"/>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2"/>
    </row>
    <row r="101" spans="1:48" ht="15" customHeight="1">
      <c r="A101" s="160"/>
      <c r="B101" s="291"/>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2"/>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2"/>
    </row>
    <row r="102" spans="1:48" ht="15" customHeight="1">
      <c r="A102" s="160"/>
      <c r="B102" s="291"/>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2"/>
      <c r="Y102" s="291"/>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c r="AV102" s="292"/>
    </row>
    <row r="103" spans="1:48" ht="15" customHeight="1">
      <c r="A103" s="160"/>
      <c r="B103" s="291"/>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2"/>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2"/>
    </row>
    <row r="104" spans="1:48" ht="15" customHeight="1">
      <c r="A104" s="160"/>
      <c r="B104" s="291"/>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2"/>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2"/>
    </row>
    <row r="105" spans="1:48" ht="15" customHeight="1">
      <c r="A105" s="160"/>
      <c r="B105" s="291"/>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2"/>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2"/>
    </row>
    <row r="106" spans="1:48" ht="15" customHeight="1">
      <c r="A106" s="160"/>
      <c r="B106" s="291"/>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2"/>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2"/>
    </row>
    <row r="107" spans="1:48" ht="15" customHeight="1">
      <c r="A107" s="119"/>
      <c r="X107" s="121"/>
      <c r="AV107" s="121"/>
    </row>
    <row r="108" spans="1:48" ht="15" customHeight="1">
      <c r="A108" s="119"/>
      <c r="X108" s="121"/>
      <c r="AV108" s="121"/>
    </row>
    <row r="109" spans="1:48" ht="15" customHeight="1">
      <c r="A109" s="119"/>
      <c r="X109" s="121"/>
      <c r="Y109" s="119"/>
      <c r="AV109" s="121"/>
    </row>
    <row r="110" spans="1:48" ht="15" customHeight="1">
      <c r="A110" s="119"/>
      <c r="X110" s="121"/>
      <c r="Y110" s="119"/>
      <c r="AV110" s="121"/>
    </row>
    <row r="111" spans="1:48" ht="15" customHeight="1">
      <c r="A111" s="119"/>
      <c r="X111" s="121"/>
      <c r="Y111" s="119"/>
      <c r="AV111" s="121"/>
    </row>
    <row r="112" spans="1:48" ht="15" customHeight="1">
      <c r="A112" s="119"/>
      <c r="X112" s="121"/>
      <c r="Y112" s="119"/>
      <c r="AV112" s="121"/>
    </row>
    <row r="113" spans="1:48" ht="15" customHeight="1">
      <c r="A113" s="119"/>
      <c r="X113" s="121"/>
      <c r="Y113" s="119"/>
      <c r="AV113" s="121"/>
    </row>
    <row r="114" spans="1:48" ht="15" customHeight="1">
      <c r="A114" s="119"/>
      <c r="X114" s="121"/>
      <c r="Y114" s="119"/>
      <c r="AV114" s="121"/>
    </row>
    <row r="115" spans="1:48" ht="15" customHeight="1">
      <c r="A115" s="119"/>
      <c r="X115" s="121"/>
      <c r="Y115" s="119"/>
      <c r="AV115" s="121"/>
    </row>
    <row r="116" spans="1:48" ht="15" customHeight="1">
      <c r="A116" s="119"/>
      <c r="X116" s="121"/>
      <c r="Y116" s="119"/>
      <c r="AV116" s="121"/>
    </row>
    <row r="117" spans="1:48" ht="15" customHeight="1">
      <c r="A117" s="119"/>
      <c r="X117" s="121"/>
      <c r="Y117" s="119"/>
      <c r="AV117" s="121"/>
    </row>
    <row r="118" spans="1:48" ht="15" customHeight="1">
      <c r="A118" s="119"/>
      <c r="X118" s="121"/>
      <c r="Y118" s="119"/>
      <c r="AV118" s="121"/>
    </row>
    <row r="119" spans="1:48" ht="15" customHeight="1">
      <c r="A119" s="119"/>
      <c r="X119" s="121"/>
      <c r="Y119" s="119"/>
      <c r="AV119" s="121"/>
    </row>
    <row r="120" spans="1:48" ht="15" customHeight="1">
      <c r="A120" s="119"/>
      <c r="X120" s="121"/>
      <c r="Y120" s="119"/>
      <c r="AV120" s="121"/>
    </row>
    <row r="121" spans="1:48" ht="15" customHeight="1">
      <c r="A121" s="119"/>
      <c r="X121" s="121"/>
      <c r="Y121" s="119"/>
      <c r="AV121" s="121"/>
    </row>
    <row r="122" spans="1:48" ht="15" customHeight="1">
      <c r="A122" s="119"/>
      <c r="X122" s="121"/>
      <c r="Y122" s="119"/>
      <c r="AV122" s="121"/>
    </row>
    <row r="123" spans="1:48" ht="15" customHeight="1">
      <c r="A123" s="119"/>
      <c r="X123" s="121"/>
      <c r="Y123" s="119"/>
      <c r="AV123" s="121"/>
    </row>
    <row r="124" spans="1:48" ht="15" customHeight="1">
      <c r="A124" s="119"/>
      <c r="X124" s="121"/>
      <c r="Y124" s="119"/>
      <c r="AV124" s="121"/>
    </row>
    <row r="125" spans="1:48" ht="15" customHeight="1">
      <c r="A125" s="119"/>
      <c r="X125" s="121"/>
      <c r="Y125" s="119"/>
      <c r="AV125" s="121"/>
    </row>
    <row r="126" spans="1:48" ht="15" customHeight="1">
      <c r="A126" s="119"/>
      <c r="X126" s="121"/>
      <c r="Y126" s="119"/>
      <c r="AV126" s="121"/>
    </row>
    <row r="127" spans="1:48" ht="15" customHeight="1">
      <c r="A127" s="119"/>
      <c r="X127" s="121"/>
      <c r="Y127" s="119"/>
      <c r="AV127" s="121"/>
    </row>
    <row r="128" spans="1:48" ht="15" customHeight="1">
      <c r="A128" s="119"/>
      <c r="X128" s="121"/>
      <c r="Y128" s="119"/>
      <c r="AV128" s="121"/>
    </row>
    <row r="129" spans="1:48" ht="15" customHeight="1">
      <c r="A129" s="119"/>
      <c r="X129" s="121"/>
      <c r="Y129" s="119"/>
      <c r="AV129" s="121"/>
    </row>
    <row r="130" spans="1:48" ht="15" customHeight="1">
      <c r="A130" s="119"/>
      <c r="X130" s="121"/>
      <c r="Y130" s="119"/>
      <c r="AV130" s="121"/>
    </row>
    <row r="131" spans="1:48" ht="15" customHeight="1">
      <c r="A131" s="119"/>
      <c r="X131" s="121"/>
      <c r="Y131" s="119"/>
      <c r="AV131" s="121"/>
    </row>
    <row r="132" spans="1:48" ht="15" customHeight="1">
      <c r="A132" s="119"/>
      <c r="X132" s="121"/>
      <c r="Y132" s="119"/>
      <c r="AV132" s="121"/>
    </row>
    <row r="133" spans="1:48" ht="15" customHeight="1">
      <c r="A133" s="119"/>
      <c r="X133" s="121"/>
      <c r="Y133" s="119"/>
      <c r="AV133" s="121"/>
    </row>
    <row r="134" spans="1:48" ht="15" customHeight="1">
      <c r="A134" s="119"/>
      <c r="X134" s="121"/>
      <c r="Y134" s="119"/>
      <c r="AV134" s="121"/>
    </row>
    <row r="135" spans="1:48" ht="15" customHeight="1">
      <c r="A135" s="119"/>
      <c r="X135" s="121"/>
      <c r="Y135" s="119"/>
      <c r="AV135" s="121"/>
    </row>
    <row r="136" spans="1:48" ht="15" customHeight="1">
      <c r="A136" s="119"/>
      <c r="X136" s="121"/>
      <c r="Y136" s="119"/>
      <c r="AV136" s="121"/>
    </row>
    <row r="137" spans="1:48" ht="15" customHeight="1">
      <c r="A137" s="119"/>
      <c r="X137" s="121"/>
      <c r="Y137" s="119"/>
      <c r="AV137" s="121"/>
    </row>
    <row r="138" spans="1:48" ht="15" customHeight="1">
      <c r="A138" s="119"/>
      <c r="X138" s="121"/>
      <c r="Y138" s="119"/>
      <c r="AV138" s="121"/>
    </row>
    <row r="139" spans="1:48" ht="15" customHeight="1">
      <c r="A139" s="119"/>
      <c r="X139" s="121"/>
      <c r="Y139" s="119"/>
      <c r="AV139" s="121"/>
    </row>
    <row r="140" spans="1:48" ht="15" customHeight="1">
      <c r="A140" s="119"/>
      <c r="X140" s="121"/>
      <c r="Y140" s="119"/>
      <c r="AV140" s="121"/>
    </row>
    <row r="141" spans="1:48" ht="15" customHeight="1">
      <c r="A141" s="119"/>
      <c r="X141" s="121"/>
      <c r="Y141" s="119"/>
      <c r="AV141" s="121"/>
    </row>
    <row r="142" spans="1:48">
      <c r="A142" s="119"/>
      <c r="X142" s="121"/>
      <c r="Y142" s="119"/>
      <c r="AV142" s="121"/>
    </row>
    <row r="143" spans="1:48">
      <c r="A143" s="119"/>
      <c r="X143" s="121"/>
      <c r="Y143" s="119"/>
      <c r="AV143" s="121"/>
    </row>
    <row r="144" spans="1:48">
      <c r="A144" s="119"/>
      <c r="X144" s="121"/>
      <c r="Y144" s="119"/>
      <c r="AV144" s="121"/>
    </row>
    <row r="145" spans="1:48">
      <c r="A145" s="119"/>
      <c r="X145" s="121"/>
      <c r="Y145" s="119"/>
      <c r="AV145" s="121"/>
    </row>
    <row r="146" spans="1:48">
      <c r="A146" s="119"/>
      <c r="X146" s="121"/>
      <c r="Y146" s="119"/>
      <c r="AV146" s="121"/>
    </row>
    <row r="147" spans="1:48">
      <c r="A147" s="119"/>
      <c r="X147" s="121"/>
      <c r="Y147" s="119"/>
      <c r="AV147" s="121"/>
    </row>
    <row r="148" spans="1:48">
      <c r="A148" s="119"/>
      <c r="X148" s="121"/>
      <c r="Y148" s="119"/>
      <c r="AV148" s="121"/>
    </row>
    <row r="149" spans="1:48">
      <c r="A149" s="119"/>
      <c r="X149" s="121"/>
      <c r="Y149" s="119"/>
      <c r="AV149" s="121"/>
    </row>
    <row r="150" spans="1:48">
      <c r="A150" s="119"/>
      <c r="X150" s="121"/>
      <c r="Y150" s="119"/>
      <c r="AV150" s="121"/>
    </row>
    <row r="151" spans="1:48">
      <c r="A151" s="19"/>
      <c r="B151" s="20"/>
      <c r="C151" s="20"/>
      <c r="D151" s="20"/>
      <c r="E151" s="20"/>
      <c r="F151" s="20"/>
      <c r="G151" s="20"/>
      <c r="H151" s="20"/>
      <c r="I151" s="20"/>
      <c r="J151" s="20"/>
      <c r="K151" s="20"/>
      <c r="L151" s="20"/>
      <c r="M151" s="20"/>
      <c r="N151" s="20"/>
      <c r="O151" s="20"/>
      <c r="P151" s="20"/>
      <c r="Q151" s="20"/>
      <c r="R151" s="20"/>
      <c r="S151" s="20"/>
      <c r="T151" s="20"/>
      <c r="U151" s="20"/>
      <c r="V151" s="20"/>
      <c r="W151" s="20"/>
      <c r="X151" s="21"/>
      <c r="Y151" s="19"/>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1"/>
    </row>
  </sheetData>
  <mergeCells count="2">
    <mergeCell ref="A2:X3"/>
    <mergeCell ref="Y2:AV3"/>
  </mergeCells>
  <phoneticPr fontId="3"/>
  <printOptions horizontalCentered="1"/>
  <pageMargins left="0.78740157480314965" right="0.39370078740157483" top="0.59055118110236227" bottom="0.59055118110236227" header="0.31496062992125984" footer="0.11811023622047245"/>
  <pageSetup paperSize="9" scale="65" orientation="portrait" r:id="rId1"/>
  <rowBreaks count="1" manualBreakCount="1">
    <brk id="78" max="4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2:BV63"/>
  <sheetViews>
    <sheetView showGridLines="0" showZeros="0" tabSelected="1" view="pageBreakPreview" topLeftCell="A46" zoomScale="85" zoomScaleNormal="85" zoomScaleSheetLayoutView="85" workbookViewId="0">
      <selection activeCell="D74" sqref="D74"/>
    </sheetView>
  </sheetViews>
  <sheetFormatPr defaultRowHeight="18.75"/>
  <cols>
    <col min="1" max="3" width="12.625" customWidth="1"/>
    <col min="4" max="4" width="23.625" customWidth="1"/>
    <col min="6" max="6" width="5.625" customWidth="1"/>
    <col min="7" max="8" width="12.625" customWidth="1"/>
    <col min="9" max="9" width="20.625" customWidth="1"/>
  </cols>
  <sheetData>
    <row r="2" spans="1:74">
      <c r="A2" s="16"/>
      <c r="B2" s="17"/>
      <c r="C2" s="545" t="s">
        <v>111</v>
      </c>
      <c r="D2" s="546"/>
      <c r="E2" s="546"/>
      <c r="F2" s="546"/>
      <c r="G2" s="546"/>
      <c r="H2" s="546"/>
      <c r="I2" s="18"/>
    </row>
    <row r="3" spans="1:74">
      <c r="A3" s="19"/>
      <c r="B3" s="20"/>
      <c r="C3" s="547"/>
      <c r="D3" s="547"/>
      <c r="E3" s="547"/>
      <c r="F3" s="547"/>
      <c r="G3" s="547"/>
      <c r="H3" s="547"/>
      <c r="I3" s="103" t="s">
        <v>112</v>
      </c>
    </row>
    <row r="4" spans="1:74">
      <c r="A4" s="552" t="s">
        <v>113</v>
      </c>
      <c r="B4" s="552" t="s">
        <v>114</v>
      </c>
      <c r="C4" s="552" t="s">
        <v>115</v>
      </c>
      <c r="D4" s="552"/>
      <c r="E4" s="552" t="s">
        <v>2</v>
      </c>
      <c r="F4" s="552" t="s">
        <v>3</v>
      </c>
      <c r="G4" s="552" t="s">
        <v>6</v>
      </c>
      <c r="H4" s="552" t="s">
        <v>7</v>
      </c>
      <c r="I4" s="552" t="s">
        <v>8</v>
      </c>
    </row>
    <row r="5" spans="1:74">
      <c r="A5" s="552"/>
      <c r="B5" s="552"/>
      <c r="C5" s="552"/>
      <c r="D5" s="552"/>
      <c r="E5" s="552"/>
      <c r="F5" s="552"/>
      <c r="G5" s="552"/>
      <c r="H5" s="552"/>
      <c r="I5" s="552"/>
    </row>
    <row r="6" spans="1:74">
      <c r="A6" s="2" t="s">
        <v>297</v>
      </c>
      <c r="B6" s="2"/>
      <c r="C6" s="2"/>
      <c r="D6" s="2"/>
      <c r="E6" s="3"/>
      <c r="F6" s="3"/>
      <c r="G6" s="3"/>
      <c r="H6" s="3"/>
      <c r="I6" s="8"/>
      <c r="BV6" t="s">
        <v>1147</v>
      </c>
    </row>
    <row r="7" spans="1:74">
      <c r="A7" s="1"/>
      <c r="B7" s="1"/>
      <c r="C7" s="1"/>
      <c r="D7" s="1"/>
      <c r="E7" s="1"/>
      <c r="F7" s="1"/>
      <c r="G7" s="1"/>
      <c r="H7" s="1"/>
      <c r="I7" s="9"/>
    </row>
    <row r="8" spans="1:74">
      <c r="A8" s="2"/>
      <c r="B8" s="2" t="s">
        <v>216</v>
      </c>
      <c r="C8" s="2"/>
      <c r="D8" s="2"/>
      <c r="E8" s="3"/>
      <c r="F8" s="3"/>
      <c r="G8" s="3"/>
      <c r="H8" s="3"/>
      <c r="I8" s="8"/>
      <c r="AL8" s="97"/>
      <c r="BV8" t="s">
        <v>1147</v>
      </c>
    </row>
    <row r="9" spans="1:74">
      <c r="A9" s="1"/>
      <c r="B9" s="1"/>
      <c r="C9" s="1"/>
      <c r="D9" s="1"/>
      <c r="E9" s="1"/>
      <c r="F9" s="1"/>
      <c r="G9" s="1"/>
      <c r="H9" s="1"/>
      <c r="I9" s="9"/>
    </row>
    <row r="10" spans="1:74">
      <c r="A10" s="2"/>
      <c r="B10" s="2"/>
      <c r="C10" s="472"/>
      <c r="D10" s="472"/>
      <c r="E10" s="473"/>
      <c r="F10" s="473"/>
      <c r="G10" s="473"/>
      <c r="H10" s="473"/>
      <c r="I10" s="474"/>
      <c r="BV10" t="s">
        <v>1148</v>
      </c>
    </row>
    <row r="11" spans="1:74">
      <c r="A11" s="1"/>
      <c r="B11" s="1"/>
      <c r="C11" s="475"/>
      <c r="D11" s="475"/>
      <c r="E11" s="475"/>
      <c r="F11" s="475"/>
      <c r="G11" s="475"/>
      <c r="H11" s="475"/>
      <c r="I11" s="464"/>
    </row>
    <row r="12" spans="1:74">
      <c r="A12" s="2"/>
      <c r="B12" s="2"/>
      <c r="C12" s="472" t="s">
        <v>10</v>
      </c>
      <c r="D12" s="472" t="s">
        <v>10</v>
      </c>
      <c r="E12" s="476">
        <v>1</v>
      </c>
      <c r="F12" s="477" t="s">
        <v>117</v>
      </c>
      <c r="G12" s="478"/>
      <c r="H12" s="462"/>
      <c r="I12" s="474" t="s">
        <v>290</v>
      </c>
    </row>
    <row r="13" spans="1:74">
      <c r="A13" s="1"/>
      <c r="B13" s="1"/>
      <c r="C13" s="475"/>
      <c r="D13" s="479"/>
      <c r="E13" s="480"/>
      <c r="F13" s="481"/>
      <c r="G13" s="482"/>
      <c r="H13" s="483"/>
      <c r="I13" s="464"/>
    </row>
    <row r="14" spans="1:74">
      <c r="A14" s="2"/>
      <c r="B14" s="2"/>
      <c r="C14" s="472"/>
      <c r="D14" s="523" t="s">
        <v>1162</v>
      </c>
      <c r="E14" s="476">
        <v>1</v>
      </c>
      <c r="F14" s="477" t="s">
        <v>117</v>
      </c>
      <c r="G14" s="476"/>
      <c r="H14" s="462"/>
      <c r="I14" s="474"/>
    </row>
    <row r="15" spans="1:74">
      <c r="A15" s="1"/>
      <c r="B15" s="1"/>
      <c r="C15" s="471"/>
      <c r="D15" s="465"/>
      <c r="E15" s="466"/>
      <c r="F15" s="467"/>
      <c r="G15" s="470"/>
      <c r="H15" s="468"/>
      <c r="I15" s="463"/>
    </row>
    <row r="16" spans="1:74">
      <c r="A16" s="2"/>
      <c r="B16" s="2"/>
      <c r="C16" s="2"/>
      <c r="D16" s="2"/>
      <c r="E16" s="3"/>
      <c r="F16" s="3"/>
      <c r="G16" s="3"/>
      <c r="H16" s="3"/>
      <c r="I16" s="8"/>
    </row>
    <row r="17" spans="1:13">
      <c r="A17" s="1"/>
      <c r="B17" s="1"/>
      <c r="C17" s="1"/>
      <c r="D17" s="1"/>
      <c r="E17" s="1"/>
      <c r="F17" s="1"/>
      <c r="G17" s="1"/>
      <c r="H17" s="1"/>
      <c r="I17" s="9"/>
    </row>
    <row r="18" spans="1:13">
      <c r="A18" s="2"/>
      <c r="B18" s="2"/>
      <c r="C18" s="2" t="s">
        <v>120</v>
      </c>
      <c r="D18" s="2" t="s">
        <v>194</v>
      </c>
      <c r="E18" s="4">
        <v>1</v>
      </c>
      <c r="F18" s="105" t="s">
        <v>117</v>
      </c>
      <c r="G18" s="127"/>
      <c r="H18" s="106"/>
      <c r="I18" s="8" t="s">
        <v>291</v>
      </c>
    </row>
    <row r="19" spans="1:13">
      <c r="A19" s="1"/>
      <c r="B19" s="1"/>
      <c r="C19" s="1"/>
      <c r="D19" s="6" t="s">
        <v>243</v>
      </c>
      <c r="E19" s="419"/>
      <c r="F19" s="420"/>
      <c r="G19" s="421"/>
      <c r="H19" s="404"/>
      <c r="I19" s="9"/>
    </row>
    <row r="20" spans="1:13">
      <c r="A20" s="2"/>
      <c r="B20" s="2"/>
      <c r="C20" s="2"/>
      <c r="D20" s="2" t="s">
        <v>194</v>
      </c>
      <c r="E20" s="4">
        <v>1</v>
      </c>
      <c r="F20" s="105" t="s">
        <v>117</v>
      </c>
      <c r="G20" s="127"/>
      <c r="H20" s="106"/>
      <c r="I20" s="8" t="s">
        <v>292</v>
      </c>
    </row>
    <row r="21" spans="1:13">
      <c r="A21" s="1"/>
      <c r="B21" s="1"/>
      <c r="C21" s="1"/>
      <c r="D21" s="6" t="s">
        <v>289</v>
      </c>
      <c r="E21" s="419"/>
      <c r="F21" s="420"/>
      <c r="G21" s="421"/>
      <c r="H21" s="404"/>
      <c r="I21" s="9"/>
    </row>
    <row r="22" spans="1:13">
      <c r="A22" s="2"/>
      <c r="B22" s="2"/>
      <c r="C22" s="2"/>
      <c r="D22" s="2" t="s">
        <v>199</v>
      </c>
      <c r="E22" s="114">
        <v>20</v>
      </c>
      <c r="F22" s="105" t="s">
        <v>217</v>
      </c>
      <c r="G22" s="127"/>
      <c r="H22" s="106"/>
      <c r="I22" s="8"/>
      <c r="L22" s="113"/>
      <c r="M22" s="113"/>
    </row>
    <row r="23" spans="1:13">
      <c r="A23" s="1"/>
      <c r="B23" s="1"/>
      <c r="C23" s="1"/>
      <c r="D23" s="6"/>
      <c r="E23" s="422"/>
      <c r="F23" s="420"/>
      <c r="G23" s="421"/>
      <c r="H23" s="404"/>
      <c r="I23" s="44"/>
    </row>
    <row r="24" spans="1:13">
      <c r="A24" s="2"/>
      <c r="B24" s="2"/>
      <c r="C24" s="2"/>
      <c r="D24" s="131" t="s">
        <v>1158</v>
      </c>
      <c r="E24" s="4">
        <v>1</v>
      </c>
      <c r="F24" s="105" t="s">
        <v>117</v>
      </c>
      <c r="G24" s="4"/>
      <c r="H24" s="106"/>
      <c r="I24" s="8"/>
    </row>
    <row r="25" spans="1:13">
      <c r="A25" s="1"/>
      <c r="B25" s="1"/>
      <c r="C25" s="1"/>
      <c r="D25" s="6"/>
      <c r="E25" s="382"/>
      <c r="F25" s="420"/>
      <c r="G25" s="382"/>
      <c r="H25" s="404"/>
      <c r="I25" s="9"/>
    </row>
    <row r="26" spans="1:13">
      <c r="A26" s="2"/>
      <c r="B26" s="2"/>
      <c r="C26" s="2"/>
      <c r="D26" s="2" t="s">
        <v>202</v>
      </c>
      <c r="E26" s="4">
        <v>1</v>
      </c>
      <c r="F26" s="105" t="s">
        <v>117</v>
      </c>
      <c r="G26" s="4"/>
      <c r="H26" s="106"/>
      <c r="I26" s="8" t="s">
        <v>1151</v>
      </c>
    </row>
    <row r="27" spans="1:13">
      <c r="A27" s="1"/>
      <c r="B27" s="1"/>
      <c r="C27" s="1"/>
      <c r="D27" s="6" t="s">
        <v>23</v>
      </c>
      <c r="E27" s="419"/>
      <c r="F27" s="420"/>
      <c r="G27" s="382"/>
      <c r="H27" s="404"/>
      <c r="I27" s="118"/>
    </row>
    <row r="28" spans="1:13">
      <c r="A28" s="2"/>
      <c r="B28" s="2"/>
      <c r="C28" s="2"/>
      <c r="D28" s="2" t="s">
        <v>202</v>
      </c>
      <c r="E28" s="4">
        <v>1</v>
      </c>
      <c r="F28" s="105" t="s">
        <v>117</v>
      </c>
      <c r="G28" s="4"/>
      <c r="H28" s="106"/>
      <c r="I28" s="45" t="s">
        <v>293</v>
      </c>
    </row>
    <row r="29" spans="1:13">
      <c r="A29" s="1"/>
      <c r="B29" s="1"/>
      <c r="C29" s="1"/>
      <c r="D29" s="6" t="s">
        <v>273</v>
      </c>
      <c r="E29" s="419"/>
      <c r="F29" s="420"/>
      <c r="G29" s="382"/>
      <c r="H29" s="404"/>
      <c r="I29" s="9"/>
    </row>
    <row r="30" spans="1:13">
      <c r="A30" s="2"/>
      <c r="B30" s="2"/>
      <c r="C30" s="2"/>
      <c r="D30" s="131" t="s">
        <v>1163</v>
      </c>
      <c r="E30" s="4">
        <v>1</v>
      </c>
      <c r="F30" s="105" t="s">
        <v>117</v>
      </c>
      <c r="G30" s="4"/>
      <c r="H30" s="4"/>
      <c r="I30" s="45"/>
    </row>
    <row r="31" spans="1:13">
      <c r="A31" s="1"/>
      <c r="B31" s="1"/>
      <c r="C31" s="1"/>
      <c r="D31" s="6"/>
      <c r="E31" s="419"/>
      <c r="F31" s="420"/>
      <c r="G31" s="382"/>
      <c r="H31" s="382"/>
      <c r="I31" s="9"/>
    </row>
    <row r="32" spans="1:13">
      <c r="A32" s="2"/>
      <c r="B32" s="2"/>
      <c r="C32" s="2"/>
      <c r="D32" s="2" t="s">
        <v>31</v>
      </c>
      <c r="E32" s="4">
        <v>1</v>
      </c>
      <c r="F32" s="105" t="s">
        <v>117</v>
      </c>
      <c r="G32" s="4"/>
      <c r="H32" s="106"/>
      <c r="I32" s="45" t="s">
        <v>295</v>
      </c>
    </row>
    <row r="33" spans="1:9">
      <c r="A33" s="1"/>
      <c r="B33" s="1"/>
      <c r="C33" s="1"/>
      <c r="D33" s="6"/>
      <c r="E33" s="419"/>
      <c r="F33" s="420"/>
      <c r="G33" s="382"/>
      <c r="H33" s="404"/>
      <c r="I33" s="9"/>
    </row>
    <row r="34" spans="1:9">
      <c r="A34" s="2"/>
      <c r="B34" s="2"/>
      <c r="C34" s="2"/>
      <c r="D34" s="131" t="s">
        <v>1165</v>
      </c>
      <c r="E34" s="4">
        <v>1</v>
      </c>
      <c r="F34" s="105" t="s">
        <v>117</v>
      </c>
      <c r="G34" s="4"/>
      <c r="H34" s="4"/>
      <c r="I34" s="45"/>
    </row>
    <row r="35" spans="1:9">
      <c r="A35" s="1"/>
      <c r="B35" s="1"/>
      <c r="C35" s="1"/>
      <c r="D35" s="6"/>
      <c r="E35" s="419"/>
      <c r="F35" s="420"/>
      <c r="G35" s="382"/>
      <c r="H35" s="382"/>
      <c r="I35" s="9"/>
    </row>
    <row r="36" spans="1:9">
      <c r="A36" s="2"/>
      <c r="B36" s="2"/>
      <c r="C36" s="2"/>
      <c r="D36" s="131" t="s">
        <v>118</v>
      </c>
      <c r="E36" s="4">
        <v>1</v>
      </c>
      <c r="F36" s="105" t="s">
        <v>117</v>
      </c>
      <c r="G36" s="4"/>
      <c r="H36" s="106"/>
      <c r="I36" s="45" t="s">
        <v>1164</v>
      </c>
    </row>
    <row r="37" spans="1:9">
      <c r="A37" s="1"/>
      <c r="B37" s="1"/>
      <c r="C37" s="1"/>
      <c r="D37" s="6"/>
      <c r="E37" s="419"/>
      <c r="F37" s="420"/>
      <c r="G37" s="382"/>
      <c r="H37" s="404"/>
      <c r="I37" s="9"/>
    </row>
    <row r="38" spans="1:9">
      <c r="A38" s="2"/>
      <c r="B38" s="2"/>
      <c r="C38" s="2" t="s">
        <v>121</v>
      </c>
      <c r="D38" s="2" t="s">
        <v>122</v>
      </c>
      <c r="E38" s="114">
        <v>14.62</v>
      </c>
      <c r="F38" s="105" t="s">
        <v>217</v>
      </c>
      <c r="G38" s="4"/>
      <c r="H38" s="4"/>
      <c r="I38" s="45"/>
    </row>
    <row r="39" spans="1:9">
      <c r="A39" s="1"/>
      <c r="B39" s="1"/>
      <c r="C39" s="1"/>
      <c r="D39" s="6"/>
      <c r="E39" s="422"/>
      <c r="F39" s="420"/>
      <c r="G39" s="382"/>
      <c r="H39" s="382"/>
      <c r="I39" s="490"/>
    </row>
    <row r="40" spans="1:9">
      <c r="A40" s="2"/>
      <c r="B40" s="2"/>
      <c r="C40" s="2"/>
      <c r="D40" s="131" t="s">
        <v>1157</v>
      </c>
      <c r="E40" s="4">
        <v>1</v>
      </c>
      <c r="F40" s="105" t="s">
        <v>117</v>
      </c>
      <c r="G40" s="4"/>
      <c r="H40" s="4"/>
      <c r="I40" s="45"/>
    </row>
    <row r="41" spans="1:9">
      <c r="A41" s="1"/>
      <c r="B41" s="1"/>
      <c r="C41" s="1"/>
      <c r="D41" s="6"/>
      <c r="E41" s="419"/>
      <c r="F41" s="420"/>
      <c r="G41" s="5"/>
      <c r="H41" s="382"/>
      <c r="I41" s="9"/>
    </row>
    <row r="42" spans="1:9">
      <c r="A42" s="2"/>
      <c r="B42" s="2"/>
      <c r="C42" s="2"/>
      <c r="D42" s="2" t="s">
        <v>127</v>
      </c>
      <c r="E42" s="114">
        <v>28.86</v>
      </c>
      <c r="F42" s="105" t="s">
        <v>217</v>
      </c>
      <c r="G42" s="4"/>
      <c r="H42" s="396"/>
      <c r="I42" s="45"/>
    </row>
    <row r="43" spans="1:9">
      <c r="A43" s="1"/>
      <c r="B43" s="1"/>
      <c r="C43" s="1"/>
      <c r="D43" s="6"/>
      <c r="E43" s="422"/>
      <c r="F43" s="420"/>
      <c r="G43" s="382"/>
      <c r="H43" s="404"/>
      <c r="I43" s="490"/>
    </row>
    <row r="44" spans="1:9">
      <c r="A44" s="2"/>
      <c r="B44" s="2"/>
      <c r="C44" s="2"/>
      <c r="D44" s="131" t="s">
        <v>1156</v>
      </c>
      <c r="E44" s="4">
        <v>1</v>
      </c>
      <c r="F44" s="105" t="s">
        <v>117</v>
      </c>
      <c r="G44" s="4"/>
      <c r="H44" s="4"/>
      <c r="I44" s="45"/>
    </row>
    <row r="45" spans="1:9">
      <c r="A45" s="1"/>
      <c r="B45" s="1"/>
      <c r="C45" s="1"/>
      <c r="D45" s="6"/>
      <c r="E45" s="419"/>
      <c r="F45" s="420"/>
      <c r="G45" s="5"/>
      <c r="H45" s="382"/>
      <c r="I45" s="9"/>
    </row>
    <row r="46" spans="1:9">
      <c r="A46" s="2"/>
      <c r="B46" s="2"/>
      <c r="C46" s="2"/>
      <c r="D46" s="472" t="s">
        <v>218</v>
      </c>
      <c r="E46" s="484">
        <v>18.22</v>
      </c>
      <c r="F46" s="477" t="s">
        <v>217</v>
      </c>
      <c r="G46" s="476"/>
      <c r="H46" s="476"/>
      <c r="I46" s="45"/>
    </row>
    <row r="47" spans="1:9">
      <c r="A47" s="1"/>
      <c r="B47" s="1"/>
      <c r="C47" s="1"/>
      <c r="D47" s="479"/>
      <c r="E47" s="485"/>
      <c r="F47" s="481"/>
      <c r="G47" s="486"/>
      <c r="H47" s="483"/>
      <c r="I47" s="490"/>
    </row>
    <row r="48" spans="1:9">
      <c r="A48" s="2"/>
      <c r="B48" s="2"/>
      <c r="C48" s="2"/>
      <c r="D48" s="523" t="s">
        <v>1166</v>
      </c>
      <c r="E48" s="4">
        <v>1</v>
      </c>
      <c r="F48" s="105" t="s">
        <v>117</v>
      </c>
      <c r="G48" s="476"/>
      <c r="H48" s="476"/>
      <c r="I48" s="469"/>
    </row>
    <row r="49" spans="1:10">
      <c r="A49" s="1"/>
      <c r="B49" s="1"/>
      <c r="C49" s="1"/>
      <c r="D49" s="479"/>
      <c r="E49" s="419"/>
      <c r="F49" s="420"/>
      <c r="G49" s="486"/>
      <c r="H49" s="486"/>
      <c r="I49" s="463"/>
    </row>
    <row r="50" spans="1:10">
      <c r="A50" s="2"/>
      <c r="B50" s="2"/>
      <c r="C50" s="2"/>
      <c r="D50" s="131" t="s">
        <v>118</v>
      </c>
      <c r="E50" s="4">
        <v>1</v>
      </c>
      <c r="F50" s="105" t="s">
        <v>117</v>
      </c>
      <c r="G50" s="4"/>
      <c r="H50" s="4"/>
      <c r="I50" s="45" t="s">
        <v>1167</v>
      </c>
    </row>
    <row r="51" spans="1:10">
      <c r="A51" s="1"/>
      <c r="B51" s="1"/>
      <c r="C51" s="1"/>
      <c r="D51" s="6"/>
      <c r="E51" s="419"/>
      <c r="F51" s="420"/>
      <c r="G51" s="5"/>
      <c r="H51" s="382"/>
      <c r="I51" s="9"/>
    </row>
    <row r="52" spans="1:10">
      <c r="A52" s="2"/>
      <c r="B52" s="2"/>
      <c r="C52" s="2" t="s">
        <v>138</v>
      </c>
      <c r="D52" s="131" t="s">
        <v>118</v>
      </c>
      <c r="E52" s="4">
        <v>1</v>
      </c>
      <c r="F52" s="105" t="s">
        <v>117</v>
      </c>
      <c r="G52" s="4"/>
      <c r="H52" s="106"/>
      <c r="I52" s="45" t="s">
        <v>1150</v>
      </c>
    </row>
    <row r="53" spans="1:10">
      <c r="A53" s="1"/>
      <c r="B53" s="1"/>
      <c r="C53" s="1"/>
      <c r="D53" s="6"/>
      <c r="E53" s="419"/>
      <c r="F53" s="420"/>
      <c r="G53" s="5"/>
      <c r="H53" s="404"/>
      <c r="I53" s="9"/>
    </row>
    <row r="54" spans="1:10">
      <c r="A54" s="2"/>
      <c r="B54" s="2"/>
      <c r="C54" s="2"/>
      <c r="D54" s="2"/>
      <c r="E54" s="4"/>
      <c r="F54" s="105"/>
      <c r="G54" s="4"/>
      <c r="H54" s="4"/>
      <c r="I54" s="8"/>
    </row>
    <row r="55" spans="1:10">
      <c r="A55" s="1"/>
      <c r="B55" s="1"/>
      <c r="C55" s="1"/>
      <c r="D55" s="6"/>
      <c r="E55" s="5"/>
      <c r="F55" s="109"/>
      <c r="G55" s="5"/>
      <c r="H55" s="5"/>
      <c r="I55" s="9"/>
    </row>
    <row r="56" spans="1:10">
      <c r="A56" s="2"/>
      <c r="B56" s="2"/>
      <c r="C56" s="2" t="s">
        <v>140</v>
      </c>
      <c r="D56" s="2" t="s">
        <v>141</v>
      </c>
      <c r="E56" s="114">
        <v>14.38</v>
      </c>
      <c r="F56" s="105" t="s">
        <v>217</v>
      </c>
      <c r="G56" s="4"/>
      <c r="H56" s="4"/>
      <c r="I56" s="45"/>
    </row>
    <row r="57" spans="1:10">
      <c r="A57" s="1"/>
      <c r="B57" s="1"/>
      <c r="C57" s="1"/>
      <c r="D57" s="6"/>
      <c r="E57" s="422"/>
      <c r="F57" s="420"/>
      <c r="G57" s="382"/>
      <c r="H57" s="382"/>
      <c r="I57" s="490"/>
      <c r="J57" s="456"/>
    </row>
    <row r="58" spans="1:10">
      <c r="A58" s="2"/>
      <c r="B58" s="2"/>
      <c r="C58" s="2"/>
      <c r="D58" s="2" t="s">
        <v>142</v>
      </c>
      <c r="E58" s="114">
        <v>0.65</v>
      </c>
      <c r="F58" s="105" t="s">
        <v>217</v>
      </c>
      <c r="G58" s="4"/>
      <c r="H58" s="4"/>
      <c r="I58" s="8" t="s">
        <v>1144</v>
      </c>
    </row>
    <row r="59" spans="1:10">
      <c r="A59" s="1"/>
      <c r="B59" s="1"/>
      <c r="C59" s="1"/>
      <c r="D59" s="6"/>
      <c r="E59" s="422"/>
      <c r="F59" s="420"/>
      <c r="G59" s="382"/>
      <c r="H59" s="382"/>
      <c r="I59" s="9"/>
    </row>
    <row r="60" spans="1:10">
      <c r="A60" s="2"/>
      <c r="B60" s="2"/>
      <c r="C60" s="2"/>
      <c r="D60" s="131" t="s">
        <v>1160</v>
      </c>
      <c r="E60" s="4">
        <v>1</v>
      </c>
      <c r="F60" s="105" t="s">
        <v>117</v>
      </c>
      <c r="G60" s="4"/>
      <c r="H60" s="4"/>
      <c r="I60" s="7"/>
    </row>
    <row r="61" spans="1:10">
      <c r="A61" s="1"/>
      <c r="B61" s="1"/>
      <c r="C61" s="1"/>
      <c r="D61" s="6"/>
      <c r="E61" s="5"/>
      <c r="F61" s="109"/>
      <c r="G61" s="5"/>
      <c r="H61" s="382"/>
      <c r="I61" s="118"/>
    </row>
    <row r="62" spans="1:10">
      <c r="A62" s="2"/>
      <c r="B62" s="2" t="s">
        <v>145</v>
      </c>
      <c r="C62" s="2"/>
      <c r="D62" s="131" t="s">
        <v>118</v>
      </c>
      <c r="E62" s="4">
        <v>1</v>
      </c>
      <c r="F62" s="105" t="s">
        <v>117</v>
      </c>
      <c r="G62" s="4"/>
      <c r="H62" s="396"/>
      <c r="I62" s="45" t="s">
        <v>146</v>
      </c>
    </row>
    <row r="63" spans="1:10">
      <c r="A63" s="1"/>
      <c r="B63" s="1"/>
      <c r="C63" s="1"/>
      <c r="D63" s="6"/>
      <c r="E63" s="404"/>
      <c r="F63" s="524"/>
      <c r="G63" s="5"/>
      <c r="H63" s="404"/>
      <c r="I63" s="9"/>
    </row>
  </sheetData>
  <mergeCells count="9">
    <mergeCell ref="I4:I5"/>
    <mergeCell ref="C2:H3"/>
    <mergeCell ref="A4:A5"/>
    <mergeCell ref="B4:B5"/>
    <mergeCell ref="C4:D5"/>
    <mergeCell ref="E4:E5"/>
    <mergeCell ref="F4:F5"/>
    <mergeCell ref="G4:G5"/>
    <mergeCell ref="H4:H5"/>
  </mergeCells>
  <phoneticPr fontId="3"/>
  <printOptions horizontalCentered="1"/>
  <pageMargins left="0.78740157480314965" right="0.39370078740157483" top="0.39370078740157483" bottom="0.39370078740157483" header="0.31496062992125984" footer="0.11811023622047245"/>
  <pageSetup paperSize="9" scale="61" orientation="portrait" blackAndWhite="1" errors="blank"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2:BD63"/>
  <sheetViews>
    <sheetView showGridLines="0" showZeros="0" view="pageBreakPreview" topLeftCell="A25" zoomScale="85" zoomScaleNormal="100" zoomScaleSheetLayoutView="85" workbookViewId="0">
      <selection activeCell="M42" sqref="M42"/>
    </sheetView>
  </sheetViews>
  <sheetFormatPr defaultRowHeight="18.75"/>
  <cols>
    <col min="1" max="1" width="20.625" customWidth="1"/>
    <col min="2" max="2" width="23.625" customWidth="1"/>
    <col min="3" max="3" width="8.625" customWidth="1"/>
    <col min="4" max="4" width="5.625" customWidth="1"/>
    <col min="5" max="6" width="12.625" customWidth="1"/>
    <col min="7" max="7" width="17.625" customWidth="1"/>
    <col min="8" max="8" width="2.625" customWidth="1"/>
    <col min="9" max="9" width="20.625" customWidth="1"/>
    <col min="10" max="10" width="23.625" customWidth="1"/>
    <col min="11" max="11" width="8.625" customWidth="1"/>
    <col min="12" max="12" width="5.625" customWidth="1"/>
    <col min="13" max="14" width="12.625" customWidth="1"/>
    <col min="15" max="15" width="17.625" customWidth="1"/>
    <col min="16" max="16" width="2.625" customWidth="1"/>
    <col min="17" max="17" width="20.625" customWidth="1"/>
    <col min="18" max="18" width="23.625" customWidth="1"/>
    <col min="19" max="19" width="8.625" customWidth="1"/>
    <col min="20" max="20" width="5.625" customWidth="1"/>
    <col min="21" max="22" width="12.625" customWidth="1"/>
    <col min="23" max="23" width="17.625" customWidth="1"/>
    <col min="24" max="24" width="2.625" customWidth="1"/>
    <col min="25" max="25" width="20.625" customWidth="1"/>
    <col min="26" max="26" width="23.625" customWidth="1"/>
    <col min="27" max="27" width="8.625" customWidth="1"/>
    <col min="28" max="28" width="5.625" customWidth="1"/>
    <col min="29" max="30" width="12.625" customWidth="1"/>
    <col min="31" max="31" width="17.625" customWidth="1"/>
    <col min="32" max="32" width="2.625" customWidth="1"/>
    <col min="33" max="33" width="20.625" customWidth="1"/>
    <col min="34" max="34" width="23.625" customWidth="1"/>
    <col min="35" max="35" width="8.625" customWidth="1"/>
    <col min="36" max="36" width="5.625" customWidth="1"/>
    <col min="37" max="38" width="12.625" customWidth="1"/>
    <col min="39" max="39" width="17.625" customWidth="1"/>
    <col min="40" max="40" width="2.625" customWidth="1"/>
    <col min="41" max="41" width="20.625" customWidth="1"/>
    <col min="42" max="42" width="23.625" customWidth="1"/>
    <col min="43" max="43" width="8.625" customWidth="1"/>
    <col min="44" max="44" width="5.625" customWidth="1"/>
    <col min="45" max="46" width="12.625" customWidth="1"/>
    <col min="47" max="47" width="17.625" customWidth="1"/>
    <col min="48" max="48" width="2.625" customWidth="1"/>
    <col min="49" max="49" width="20.625" hidden="1" customWidth="1"/>
    <col min="50" max="50" width="23.625" hidden="1" customWidth="1"/>
    <col min="51" max="51" width="8.625" hidden="1" customWidth="1"/>
    <col min="52" max="52" width="5.625" hidden="1" customWidth="1"/>
    <col min="53" max="54" width="12.625" hidden="1" customWidth="1"/>
    <col min="55" max="55" width="17.625" hidden="1" customWidth="1"/>
    <col min="56" max="56" width="2.625" hidden="1" customWidth="1"/>
  </cols>
  <sheetData>
    <row r="2" spans="1:55">
      <c r="A2" s="674" t="s">
        <v>239</v>
      </c>
      <c r="B2" s="675"/>
      <c r="C2" s="678">
        <v>1</v>
      </c>
      <c r="D2" s="678"/>
      <c r="E2" s="675" t="s">
        <v>10</v>
      </c>
      <c r="F2" s="675"/>
      <c r="G2" s="680" t="s">
        <v>9</v>
      </c>
      <c r="I2" s="674" t="s">
        <v>239</v>
      </c>
      <c r="J2" s="675"/>
      <c r="K2" s="678">
        <v>2</v>
      </c>
      <c r="L2" s="678"/>
      <c r="M2" s="675" t="s">
        <v>243</v>
      </c>
      <c r="N2" s="675"/>
      <c r="O2" s="680" t="s">
        <v>9</v>
      </c>
      <c r="Q2" s="674" t="s">
        <v>239</v>
      </c>
      <c r="R2" s="675"/>
      <c r="S2" s="678">
        <v>3</v>
      </c>
      <c r="T2" s="678"/>
      <c r="U2" s="675" t="s">
        <v>249</v>
      </c>
      <c r="V2" s="675"/>
      <c r="W2" s="680" t="s">
        <v>9</v>
      </c>
      <c r="Y2" s="674" t="s">
        <v>239</v>
      </c>
      <c r="Z2" s="675"/>
      <c r="AA2" s="678">
        <v>4</v>
      </c>
      <c r="AB2" s="678"/>
      <c r="AC2" s="675" t="s">
        <v>23</v>
      </c>
      <c r="AD2" s="675"/>
      <c r="AE2" s="680" t="s">
        <v>9</v>
      </c>
      <c r="AG2" s="674" t="s">
        <v>239</v>
      </c>
      <c r="AH2" s="675"/>
      <c r="AI2" s="678">
        <v>5</v>
      </c>
      <c r="AJ2" s="678"/>
      <c r="AK2" s="688" t="s">
        <v>275</v>
      </c>
      <c r="AL2" s="688"/>
      <c r="AM2" s="680" t="s">
        <v>9</v>
      </c>
      <c r="AO2" s="674" t="s">
        <v>239</v>
      </c>
      <c r="AP2" s="675"/>
      <c r="AQ2" s="678">
        <v>6</v>
      </c>
      <c r="AR2" s="678"/>
      <c r="AS2" s="688" t="s">
        <v>31</v>
      </c>
      <c r="AT2" s="688"/>
      <c r="AU2" s="680" t="s">
        <v>9</v>
      </c>
      <c r="AW2" s="674" t="s">
        <v>239</v>
      </c>
      <c r="AX2" s="702"/>
      <c r="AY2" s="678">
        <v>9</v>
      </c>
      <c r="AZ2" s="678"/>
      <c r="BA2" s="688" t="s">
        <v>1080</v>
      </c>
      <c r="BB2" s="688"/>
      <c r="BC2" s="680" t="s">
        <v>9</v>
      </c>
    </row>
    <row r="3" spans="1:55" ht="18.75" customHeight="1">
      <c r="A3" s="676"/>
      <c r="B3" s="677"/>
      <c r="C3" s="679"/>
      <c r="D3" s="679"/>
      <c r="E3" s="677"/>
      <c r="F3" s="677"/>
      <c r="G3" s="681"/>
      <c r="I3" s="676"/>
      <c r="J3" s="677"/>
      <c r="K3" s="679"/>
      <c r="L3" s="679"/>
      <c r="M3" s="677"/>
      <c r="N3" s="677"/>
      <c r="O3" s="681"/>
      <c r="Q3" s="676"/>
      <c r="R3" s="677"/>
      <c r="S3" s="679"/>
      <c r="T3" s="679"/>
      <c r="U3" s="677"/>
      <c r="V3" s="677"/>
      <c r="W3" s="681"/>
      <c r="Y3" s="676"/>
      <c r="Z3" s="677"/>
      <c r="AA3" s="679"/>
      <c r="AB3" s="679"/>
      <c r="AC3" s="677"/>
      <c r="AD3" s="677"/>
      <c r="AE3" s="681"/>
      <c r="AG3" s="676"/>
      <c r="AH3" s="677"/>
      <c r="AI3" s="679"/>
      <c r="AJ3" s="679"/>
      <c r="AK3" s="689"/>
      <c r="AL3" s="689"/>
      <c r="AM3" s="681"/>
      <c r="AO3" s="676"/>
      <c r="AP3" s="677"/>
      <c r="AQ3" s="679"/>
      <c r="AR3" s="679"/>
      <c r="AS3" s="689"/>
      <c r="AT3" s="689"/>
      <c r="AU3" s="681"/>
      <c r="AW3" s="728"/>
      <c r="AX3" s="729"/>
      <c r="AY3" s="679"/>
      <c r="AZ3" s="679"/>
      <c r="BA3" s="689"/>
      <c r="BB3" s="689"/>
      <c r="BC3" s="719"/>
    </row>
    <row r="4" spans="1:55" ht="19.5" customHeight="1" thickBot="1">
      <c r="A4" s="24" t="s">
        <v>5</v>
      </c>
      <c r="B4" s="25" t="s">
        <v>1</v>
      </c>
      <c r="C4" s="25" t="s">
        <v>4</v>
      </c>
      <c r="D4" s="25" t="s">
        <v>3</v>
      </c>
      <c r="E4" s="25" t="s">
        <v>6</v>
      </c>
      <c r="F4" s="25" t="s">
        <v>7</v>
      </c>
      <c r="G4" s="25" t="s">
        <v>8</v>
      </c>
      <c r="I4" s="24" t="s">
        <v>5</v>
      </c>
      <c r="J4" s="25" t="s">
        <v>1</v>
      </c>
      <c r="K4" s="25" t="s">
        <v>4</v>
      </c>
      <c r="L4" s="25" t="s">
        <v>3</v>
      </c>
      <c r="M4" s="25" t="s">
        <v>6</v>
      </c>
      <c r="N4" s="25" t="s">
        <v>7</v>
      </c>
      <c r="O4" s="25" t="s">
        <v>8</v>
      </c>
      <c r="Q4" s="24" t="s">
        <v>5</v>
      </c>
      <c r="R4" s="25" t="s">
        <v>1</v>
      </c>
      <c r="S4" s="25" t="s">
        <v>4</v>
      </c>
      <c r="T4" s="25" t="s">
        <v>3</v>
      </c>
      <c r="U4" s="25" t="s">
        <v>6</v>
      </c>
      <c r="V4" s="25" t="s">
        <v>7</v>
      </c>
      <c r="W4" s="25" t="s">
        <v>8</v>
      </c>
      <c r="Y4" s="24" t="s">
        <v>5</v>
      </c>
      <c r="Z4" s="25" t="s">
        <v>1</v>
      </c>
      <c r="AA4" s="25" t="s">
        <v>4</v>
      </c>
      <c r="AB4" s="25" t="s">
        <v>3</v>
      </c>
      <c r="AC4" s="25" t="s">
        <v>6</v>
      </c>
      <c r="AD4" s="25" t="s">
        <v>7</v>
      </c>
      <c r="AE4" s="25" t="s">
        <v>8</v>
      </c>
      <c r="AG4" s="24" t="s">
        <v>5</v>
      </c>
      <c r="AH4" s="25" t="s">
        <v>1</v>
      </c>
      <c r="AI4" s="25" t="s">
        <v>4</v>
      </c>
      <c r="AJ4" s="25" t="s">
        <v>3</v>
      </c>
      <c r="AK4" s="25" t="s">
        <v>6</v>
      </c>
      <c r="AL4" s="25" t="s">
        <v>7</v>
      </c>
      <c r="AM4" s="25" t="s">
        <v>8</v>
      </c>
      <c r="AO4" s="24" t="s">
        <v>5</v>
      </c>
      <c r="AP4" s="25" t="s">
        <v>1</v>
      </c>
      <c r="AQ4" s="25" t="s">
        <v>4</v>
      </c>
      <c r="AR4" s="25" t="s">
        <v>3</v>
      </c>
      <c r="AS4" s="25" t="s">
        <v>6</v>
      </c>
      <c r="AT4" s="25" t="s">
        <v>7</v>
      </c>
      <c r="AU4" s="25" t="s">
        <v>8</v>
      </c>
      <c r="AW4" s="24" t="s">
        <v>5</v>
      </c>
      <c r="AX4" s="25" t="s">
        <v>1</v>
      </c>
      <c r="AY4" s="25" t="s">
        <v>4</v>
      </c>
      <c r="AZ4" s="25" t="s">
        <v>3</v>
      </c>
      <c r="BA4" s="25" t="s">
        <v>6</v>
      </c>
      <c r="BB4" s="25" t="s">
        <v>7</v>
      </c>
      <c r="BC4" s="25" t="s">
        <v>8</v>
      </c>
    </row>
    <row r="5" spans="1:55" ht="19.5" customHeight="1" thickTop="1">
      <c r="A5" s="682" t="s">
        <v>1139</v>
      </c>
      <c r="B5" s="683" t="s">
        <v>1143</v>
      </c>
      <c r="C5" s="37">
        <v>1</v>
      </c>
      <c r="D5" s="30" t="s">
        <v>1140</v>
      </c>
      <c r="E5" s="23"/>
      <c r="F5" s="23"/>
      <c r="G5" s="43"/>
      <c r="I5" s="682" t="s">
        <v>1134</v>
      </c>
      <c r="J5" s="683" t="s">
        <v>1131</v>
      </c>
      <c r="K5" s="37">
        <v>19.05</v>
      </c>
      <c r="L5" s="30" t="s">
        <v>1132</v>
      </c>
      <c r="M5" s="23"/>
      <c r="N5" s="23"/>
      <c r="O5" s="162"/>
      <c r="Q5" s="682" t="s">
        <v>1135</v>
      </c>
      <c r="R5" s="683" t="s">
        <v>1133</v>
      </c>
      <c r="S5" s="37">
        <v>23.08</v>
      </c>
      <c r="T5" s="30" t="s">
        <v>1132</v>
      </c>
      <c r="U5" s="23"/>
      <c r="V5" s="23"/>
      <c r="W5" s="162"/>
      <c r="Y5" s="661" t="s">
        <v>267</v>
      </c>
      <c r="Z5" s="668"/>
      <c r="AA5" s="39">
        <v>4.1100000000000003</v>
      </c>
      <c r="AB5" s="32" t="s">
        <v>27</v>
      </c>
      <c r="AC5" s="23"/>
      <c r="AD5" s="23"/>
      <c r="AE5" s="460"/>
      <c r="AG5" s="682" t="s">
        <v>276</v>
      </c>
      <c r="AH5" s="683"/>
      <c r="AI5" s="37">
        <v>5.8</v>
      </c>
      <c r="AJ5" s="30" t="s">
        <v>27</v>
      </c>
      <c r="AK5" s="23"/>
      <c r="AL5" s="23"/>
      <c r="AM5" s="43"/>
      <c r="AO5" s="682" t="s">
        <v>1136</v>
      </c>
      <c r="AP5" s="683" t="s">
        <v>1137</v>
      </c>
      <c r="AQ5" s="37">
        <v>2</v>
      </c>
      <c r="AR5" s="30" t="s">
        <v>1138</v>
      </c>
      <c r="AS5" s="23"/>
      <c r="AT5" s="23"/>
      <c r="AU5" s="43"/>
      <c r="AW5" s="720" t="s">
        <v>1081</v>
      </c>
      <c r="AX5" s="722" t="s">
        <v>1079</v>
      </c>
      <c r="AY5" s="39"/>
      <c r="AZ5" s="32" t="s">
        <v>1082</v>
      </c>
      <c r="BA5" s="11"/>
      <c r="BB5" s="23">
        <f t="shared" ref="BB5:BB6" si="0">+IF(BA5&gt;0,INT(AY5*BA5),0)</f>
        <v>0</v>
      </c>
      <c r="BC5" s="164" t="s">
        <v>1087</v>
      </c>
    </row>
    <row r="6" spans="1:55" ht="19.5" customHeight="1">
      <c r="A6" s="662"/>
      <c r="B6" s="664"/>
      <c r="C6" s="408"/>
      <c r="D6" s="31"/>
      <c r="E6" s="411"/>
      <c r="F6" s="412"/>
      <c r="G6" s="409"/>
      <c r="I6" s="662"/>
      <c r="J6" s="664"/>
      <c r="K6" s="408"/>
      <c r="L6" s="410"/>
      <c r="M6" s="411"/>
      <c r="N6" s="412"/>
      <c r="O6" s="418"/>
      <c r="Q6" s="662"/>
      <c r="R6" s="664"/>
      <c r="S6" s="408"/>
      <c r="T6" s="410"/>
      <c r="U6" s="411"/>
      <c r="V6" s="412"/>
      <c r="W6" s="163"/>
      <c r="Y6" s="662"/>
      <c r="Z6" s="664"/>
      <c r="AA6" s="417"/>
      <c r="AB6" s="410"/>
      <c r="AC6" s="411"/>
      <c r="AD6" s="412"/>
      <c r="AE6" s="44"/>
      <c r="AG6" s="662"/>
      <c r="AH6" s="664"/>
      <c r="AI6" s="417"/>
      <c r="AJ6" s="410"/>
      <c r="AK6" s="411"/>
      <c r="AL6" s="412"/>
      <c r="AM6" s="44"/>
      <c r="AO6" s="662"/>
      <c r="AP6" s="664"/>
      <c r="AQ6" s="408"/>
      <c r="AR6" s="410"/>
      <c r="AS6" s="411"/>
      <c r="AT6" s="35"/>
      <c r="AU6" s="163"/>
      <c r="AW6" s="721"/>
      <c r="AX6" s="723"/>
      <c r="AY6" s="408" t="e">
        <f>#REF!</f>
        <v>#REF!</v>
      </c>
      <c r="AZ6" s="410"/>
      <c r="BA6" s="411">
        <v>8120</v>
      </c>
      <c r="BB6" s="412" t="e">
        <f t="shared" si="0"/>
        <v>#REF!</v>
      </c>
      <c r="BC6" s="163"/>
    </row>
    <row r="7" spans="1:55" ht="18.75" customHeight="1">
      <c r="A7" s="682"/>
      <c r="B7" s="683"/>
      <c r="C7" s="39"/>
      <c r="D7" s="32"/>
      <c r="E7" s="11"/>
      <c r="F7" s="23">
        <f t="shared" ref="F7" si="1">C7*E7</f>
        <v>0</v>
      </c>
      <c r="G7" s="45"/>
      <c r="I7" s="661"/>
      <c r="J7" s="668"/>
      <c r="K7" s="37"/>
      <c r="L7" s="32"/>
      <c r="M7" s="23"/>
      <c r="N7" s="23">
        <f t="shared" ref="N7" si="2">K7*M7</f>
        <v>0</v>
      </c>
      <c r="O7" s="164"/>
      <c r="Q7" s="661"/>
      <c r="R7" s="668"/>
      <c r="S7" s="37"/>
      <c r="T7" s="32"/>
      <c r="U7" s="11"/>
      <c r="V7" s="23">
        <f t="shared" ref="V7" si="3">S7*U7</f>
        <v>0</v>
      </c>
      <c r="W7" s="164"/>
      <c r="Y7" s="661"/>
      <c r="Z7" s="668"/>
      <c r="AA7" s="39"/>
      <c r="AB7" s="32"/>
      <c r="AC7" s="11"/>
      <c r="AD7" s="23"/>
      <c r="AE7" s="43"/>
      <c r="AG7" s="661"/>
      <c r="AH7" s="668"/>
      <c r="AI7" s="42"/>
      <c r="AJ7" s="32"/>
      <c r="AK7" s="11"/>
      <c r="AL7" s="23"/>
      <c r="AM7" s="162"/>
      <c r="AO7" s="667"/>
      <c r="AP7" s="668"/>
      <c r="AQ7" s="39"/>
      <c r="AR7" s="32"/>
      <c r="AS7" s="11"/>
      <c r="AT7" s="23">
        <f t="shared" ref="AT7" si="4">AQ7*AS7</f>
        <v>0</v>
      </c>
      <c r="AU7" s="43"/>
      <c r="AW7" s="724" t="s">
        <v>1081</v>
      </c>
      <c r="AX7" s="725" t="s">
        <v>1084</v>
      </c>
      <c r="AY7" s="39"/>
      <c r="AZ7" s="32" t="s">
        <v>20</v>
      </c>
      <c r="BA7" s="11"/>
      <c r="BB7" s="23">
        <f t="shared" ref="BB7:BB8" si="5">+IF(BA7&gt;0,INT(AY7*BA7),0)</f>
        <v>0</v>
      </c>
      <c r="BC7" s="164" t="s">
        <v>1083</v>
      </c>
    </row>
    <row r="8" spans="1:55">
      <c r="A8" s="662"/>
      <c r="B8" s="664"/>
      <c r="C8" s="408"/>
      <c r="D8" s="31"/>
      <c r="E8" s="411"/>
      <c r="F8" s="412"/>
      <c r="G8" s="409"/>
      <c r="I8" s="662"/>
      <c r="J8" s="664"/>
      <c r="K8" s="408"/>
      <c r="L8" s="410"/>
      <c r="M8" s="411"/>
      <c r="N8" s="412"/>
      <c r="O8" s="418"/>
      <c r="Q8" s="662"/>
      <c r="R8" s="664"/>
      <c r="S8" s="408"/>
      <c r="T8" s="410"/>
      <c r="U8" s="411"/>
      <c r="V8" s="412"/>
      <c r="W8" s="163"/>
      <c r="Y8" s="662"/>
      <c r="Z8" s="664"/>
      <c r="AA8" s="417"/>
      <c r="AB8" s="410"/>
      <c r="AC8" s="411"/>
      <c r="AD8" s="35"/>
      <c r="AE8" s="44"/>
      <c r="AG8" s="662"/>
      <c r="AH8" s="664"/>
      <c r="AI8" s="41"/>
      <c r="AJ8" s="31"/>
      <c r="AK8" s="13"/>
      <c r="AL8" s="412"/>
      <c r="AM8" s="163"/>
      <c r="AO8" s="662"/>
      <c r="AP8" s="664"/>
      <c r="AQ8" s="408"/>
      <c r="AR8" s="410"/>
      <c r="AS8" s="411"/>
      <c r="AT8" s="412"/>
      <c r="AU8" s="163"/>
      <c r="AW8" s="721"/>
      <c r="AX8" s="723"/>
      <c r="AY8" s="408" t="e">
        <f>#REF!</f>
        <v>#REF!</v>
      </c>
      <c r="AZ8" s="410"/>
      <c r="BA8" s="411">
        <v>20100</v>
      </c>
      <c r="BB8" s="412" t="e">
        <f t="shared" si="5"/>
        <v>#REF!</v>
      </c>
      <c r="BC8" s="163"/>
    </row>
    <row r="9" spans="1:55" ht="18.75" customHeight="1">
      <c r="A9" s="682"/>
      <c r="B9" s="683"/>
      <c r="C9" s="39"/>
      <c r="D9" s="32"/>
      <c r="E9" s="11"/>
      <c r="F9" s="23">
        <f t="shared" ref="F9" si="6">C9*E9</f>
        <v>0</v>
      </c>
      <c r="G9" s="45"/>
      <c r="I9" s="661"/>
      <c r="J9" s="668"/>
      <c r="K9" s="37"/>
      <c r="L9" s="32"/>
      <c r="M9" s="11"/>
      <c r="N9" s="23">
        <f t="shared" ref="N9" si="7">K9*M9</f>
        <v>0</v>
      </c>
      <c r="O9" s="164"/>
      <c r="Q9" s="667"/>
      <c r="R9" s="668"/>
      <c r="S9" s="37"/>
      <c r="T9" s="32"/>
      <c r="U9" s="11"/>
      <c r="V9" s="23">
        <f t="shared" ref="V9" si="8">S9*U9</f>
        <v>0</v>
      </c>
      <c r="W9" s="164"/>
      <c r="Y9" s="661"/>
      <c r="Z9" s="668"/>
      <c r="AA9" s="42"/>
      <c r="AB9" s="32"/>
      <c r="AC9" s="11"/>
      <c r="AD9" s="23">
        <f t="shared" ref="AD9" si="9">AA9*AC9</f>
        <v>0</v>
      </c>
      <c r="AE9" s="43"/>
      <c r="AG9" s="661"/>
      <c r="AH9" s="668"/>
      <c r="AI9" s="42"/>
      <c r="AJ9" s="32"/>
      <c r="AK9" s="11"/>
      <c r="AL9" s="23">
        <f t="shared" ref="AL9" si="10">AI9*AK9</f>
        <v>0</v>
      </c>
      <c r="AM9" s="162"/>
      <c r="AO9" s="661"/>
      <c r="AP9" s="663"/>
      <c r="AQ9" s="39"/>
      <c r="AR9" s="32"/>
      <c r="AS9" s="11"/>
      <c r="AT9" s="23">
        <f t="shared" ref="AT9" si="11">AQ9*AS9</f>
        <v>0</v>
      </c>
      <c r="AU9" s="43"/>
      <c r="AW9" s="726" t="s">
        <v>1085</v>
      </c>
      <c r="AX9" s="725" t="s">
        <v>1086</v>
      </c>
      <c r="AY9" s="39"/>
      <c r="AZ9" s="32" t="s">
        <v>20</v>
      </c>
      <c r="BA9" s="11"/>
      <c r="BB9" s="23">
        <f t="shared" ref="BB9:BB10" si="12">+IF(BA9&gt;0,INT(AY9*BA9),0)</f>
        <v>0</v>
      </c>
      <c r="BC9" s="164" t="s">
        <v>1083</v>
      </c>
    </row>
    <row r="10" spans="1:55">
      <c r="A10" s="662"/>
      <c r="B10" s="664"/>
      <c r="C10" s="408"/>
      <c r="D10" s="31"/>
      <c r="E10" s="411"/>
      <c r="F10" s="412"/>
      <c r="G10" s="409"/>
      <c r="I10" s="662"/>
      <c r="J10" s="664"/>
      <c r="K10" s="408"/>
      <c r="L10" s="410"/>
      <c r="M10" s="411"/>
      <c r="N10" s="412"/>
      <c r="O10" s="418"/>
      <c r="Q10" s="662"/>
      <c r="R10" s="664"/>
      <c r="S10" s="408"/>
      <c r="T10" s="410"/>
      <c r="U10" s="411"/>
      <c r="V10" s="412"/>
      <c r="W10" s="163"/>
      <c r="Y10" s="662"/>
      <c r="Z10" s="664"/>
      <c r="AA10" s="41"/>
      <c r="AB10" s="31"/>
      <c r="AC10" s="13"/>
      <c r="AD10" s="412"/>
      <c r="AE10" s="163"/>
      <c r="AG10" s="662"/>
      <c r="AH10" s="664"/>
      <c r="AI10" s="41"/>
      <c r="AJ10" s="31"/>
      <c r="AK10" s="13"/>
      <c r="AL10" s="412"/>
      <c r="AM10" s="163"/>
      <c r="AO10" s="662"/>
      <c r="AP10" s="664"/>
      <c r="AQ10" s="408"/>
      <c r="AR10" s="410"/>
      <c r="AS10" s="411"/>
      <c r="AT10" s="412"/>
      <c r="AU10" s="163"/>
      <c r="AW10" s="727"/>
      <c r="AX10" s="723"/>
      <c r="AY10" s="408"/>
      <c r="AZ10" s="410"/>
      <c r="BA10" s="411">
        <v>2000</v>
      </c>
      <c r="BB10" s="412">
        <f t="shared" si="12"/>
        <v>0</v>
      </c>
      <c r="BC10" s="163"/>
    </row>
    <row r="11" spans="1:55" ht="18.75" customHeight="1">
      <c r="A11" s="667"/>
      <c r="B11" s="668"/>
      <c r="C11" s="39"/>
      <c r="D11" s="32"/>
      <c r="E11" s="11"/>
      <c r="F11" s="23">
        <f t="shared" ref="F11" si="13">C11*E11</f>
        <v>0</v>
      </c>
      <c r="G11" s="45"/>
      <c r="I11" s="667"/>
      <c r="J11" s="668"/>
      <c r="K11" s="39"/>
      <c r="L11" s="32"/>
      <c r="M11" s="11"/>
      <c r="N11" s="23">
        <f t="shared" ref="N11" si="14">K11*M11</f>
        <v>0</v>
      </c>
      <c r="O11" s="164"/>
      <c r="Q11" s="667"/>
      <c r="R11" s="668"/>
      <c r="S11" s="37"/>
      <c r="T11" s="32"/>
      <c r="U11" s="11"/>
      <c r="V11" s="23">
        <f t="shared" ref="V11" si="15">S11*U11</f>
        <v>0</v>
      </c>
      <c r="W11" s="164"/>
      <c r="Y11" s="667"/>
      <c r="Z11" s="668"/>
      <c r="AA11" s="42"/>
      <c r="AB11" s="32"/>
      <c r="AC11" s="11"/>
      <c r="AD11" s="23">
        <f t="shared" ref="AD11" si="16">AA11*AC11</f>
        <v>0</v>
      </c>
      <c r="AE11" s="164"/>
      <c r="AG11" s="667"/>
      <c r="AH11" s="668"/>
      <c r="AI11" s="42"/>
      <c r="AJ11" s="32"/>
      <c r="AK11" s="11"/>
      <c r="AL11" s="23">
        <f t="shared" ref="AL11" si="17">AI11*AK11</f>
        <v>0</v>
      </c>
      <c r="AM11" s="164"/>
      <c r="AO11" s="667"/>
      <c r="AP11" s="668"/>
      <c r="AQ11" s="455"/>
      <c r="AR11" s="32"/>
      <c r="AS11" s="11"/>
      <c r="AT11" s="23">
        <f t="shared" ref="AT11" si="18">AQ11*AS11</f>
        <v>0</v>
      </c>
      <c r="AU11" s="43"/>
      <c r="AW11" s="667"/>
      <c r="AX11" s="668"/>
      <c r="AY11" s="39"/>
      <c r="AZ11" s="32"/>
      <c r="BA11" s="11"/>
      <c r="BB11" s="23"/>
      <c r="BC11" s="164"/>
    </row>
    <row r="12" spans="1:55">
      <c r="A12" s="662"/>
      <c r="B12" s="664"/>
      <c r="C12" s="408"/>
      <c r="D12" s="31"/>
      <c r="E12" s="411"/>
      <c r="F12" s="412"/>
      <c r="G12" s="409"/>
      <c r="I12" s="662"/>
      <c r="J12" s="664"/>
      <c r="K12" s="38"/>
      <c r="L12" s="31"/>
      <c r="M12" s="13"/>
      <c r="N12" s="412"/>
      <c r="O12" s="163"/>
      <c r="Q12" s="662"/>
      <c r="R12" s="664"/>
      <c r="S12" s="408"/>
      <c r="T12" s="410"/>
      <c r="U12" s="411"/>
      <c r="V12" s="412"/>
      <c r="W12" s="163"/>
      <c r="Y12" s="662"/>
      <c r="Z12" s="664"/>
      <c r="AA12" s="41"/>
      <c r="AB12" s="31"/>
      <c r="AC12" s="13"/>
      <c r="AD12" s="412"/>
      <c r="AE12" s="163"/>
      <c r="AG12" s="662"/>
      <c r="AH12" s="664"/>
      <c r="AI12" s="41"/>
      <c r="AJ12" s="31"/>
      <c r="AK12" s="13"/>
      <c r="AL12" s="412"/>
      <c r="AM12" s="163"/>
      <c r="AO12" s="662"/>
      <c r="AP12" s="664"/>
      <c r="AQ12" s="408"/>
      <c r="AR12" s="410"/>
      <c r="AS12" s="411"/>
      <c r="AT12" s="412"/>
      <c r="AU12" s="163"/>
      <c r="AW12" s="669"/>
      <c r="AX12" s="670"/>
      <c r="AY12" s="408"/>
      <c r="AZ12" s="410"/>
      <c r="BA12" s="411"/>
      <c r="BB12" s="412"/>
      <c r="BC12" s="163"/>
    </row>
    <row r="13" spans="1:55" ht="18.75" customHeight="1">
      <c r="A13" s="667"/>
      <c r="B13" s="668"/>
      <c r="C13" s="39"/>
      <c r="D13" s="32"/>
      <c r="E13" s="11"/>
      <c r="F13" s="23">
        <f t="shared" ref="F13" si="19">C13*E13</f>
        <v>0</v>
      </c>
      <c r="G13" s="45"/>
      <c r="I13" s="667"/>
      <c r="J13" s="668"/>
      <c r="K13" s="39"/>
      <c r="L13" s="32"/>
      <c r="M13" s="11"/>
      <c r="N13" s="23">
        <f t="shared" ref="N13" si="20">K13*M13</f>
        <v>0</v>
      </c>
      <c r="O13" s="164"/>
      <c r="Q13" s="667"/>
      <c r="R13" s="668"/>
      <c r="S13" s="37"/>
      <c r="T13" s="32"/>
      <c r="U13" s="11"/>
      <c r="V13" s="23">
        <f t="shared" ref="V13" si="21">S13*U13</f>
        <v>0</v>
      </c>
      <c r="W13" s="164"/>
      <c r="Y13" s="667"/>
      <c r="Z13" s="668"/>
      <c r="AA13" s="42"/>
      <c r="AB13" s="32"/>
      <c r="AC13" s="11"/>
      <c r="AD13" s="23">
        <f t="shared" ref="AD13" si="22">AA13*AC13</f>
        <v>0</v>
      </c>
      <c r="AE13" s="164"/>
      <c r="AG13" s="667"/>
      <c r="AH13" s="668"/>
      <c r="AI13" s="42"/>
      <c r="AJ13" s="32"/>
      <c r="AK13" s="11"/>
      <c r="AL13" s="23">
        <f t="shared" ref="AL13" si="23">AI13*AK13</f>
        <v>0</v>
      </c>
      <c r="AM13" s="164"/>
      <c r="AO13" s="661"/>
      <c r="AP13" s="684"/>
      <c r="AQ13" s="39"/>
      <c r="AR13" s="32"/>
      <c r="AS13" s="11"/>
      <c r="AT13" s="23">
        <f t="shared" ref="AT13" si="24">AQ13*AS13</f>
        <v>0</v>
      </c>
      <c r="AU13" s="43"/>
      <c r="AW13" s="661"/>
      <c r="AX13" s="684"/>
      <c r="AY13" s="39"/>
      <c r="AZ13" s="32"/>
      <c r="BA13" s="11"/>
      <c r="BB13" s="23"/>
      <c r="BC13" s="164"/>
    </row>
    <row r="14" spans="1:55">
      <c r="A14" s="669"/>
      <c r="B14" s="670"/>
      <c r="C14" s="408"/>
      <c r="D14" s="31"/>
      <c r="E14" s="411"/>
      <c r="F14" s="412"/>
      <c r="G14" s="409"/>
      <c r="I14" s="662"/>
      <c r="J14" s="664"/>
      <c r="K14" s="38"/>
      <c r="L14" s="31"/>
      <c r="M14" s="13"/>
      <c r="N14" s="412"/>
      <c r="O14" s="163"/>
      <c r="Q14" s="662"/>
      <c r="R14" s="664"/>
      <c r="S14" s="408"/>
      <c r="T14" s="410"/>
      <c r="U14" s="411"/>
      <c r="V14" s="412"/>
      <c r="W14" s="163"/>
      <c r="Y14" s="662"/>
      <c r="Z14" s="664"/>
      <c r="AA14" s="41"/>
      <c r="AB14" s="31"/>
      <c r="AC14" s="13"/>
      <c r="AD14" s="412"/>
      <c r="AE14" s="163"/>
      <c r="AG14" s="662"/>
      <c r="AH14" s="664"/>
      <c r="AI14" s="41"/>
      <c r="AJ14" s="31"/>
      <c r="AK14" s="13"/>
      <c r="AL14" s="412"/>
      <c r="AM14" s="163"/>
      <c r="AO14" s="662"/>
      <c r="AP14" s="686"/>
      <c r="AQ14" s="408"/>
      <c r="AR14" s="410"/>
      <c r="AS14" s="411"/>
      <c r="AT14" s="412"/>
      <c r="AU14" s="163"/>
      <c r="AW14" s="662"/>
      <c r="AX14" s="686"/>
      <c r="AY14" s="408"/>
      <c r="AZ14" s="410"/>
      <c r="BA14" s="411"/>
      <c r="BB14" s="412"/>
      <c r="BC14" s="163"/>
    </row>
    <row r="15" spans="1:55" ht="18.75" customHeight="1">
      <c r="A15" s="667"/>
      <c r="B15" s="668"/>
      <c r="C15" s="39"/>
      <c r="D15" s="32"/>
      <c r="E15" s="11"/>
      <c r="F15" s="23">
        <f t="shared" ref="F15" si="25">C15*E15</f>
        <v>0</v>
      </c>
      <c r="G15" s="45"/>
      <c r="I15" s="667"/>
      <c r="J15" s="668"/>
      <c r="K15" s="39"/>
      <c r="L15" s="32"/>
      <c r="M15" s="11"/>
      <c r="N15" s="23">
        <f t="shared" ref="N15" si="26">K15*M15</f>
        <v>0</v>
      </c>
      <c r="O15" s="164"/>
      <c r="Q15" s="682"/>
      <c r="R15" s="683"/>
      <c r="S15" s="37"/>
      <c r="T15" s="30"/>
      <c r="U15" s="23"/>
      <c r="V15" s="23">
        <f t="shared" ref="V15" si="27">S15*U15</f>
        <v>0</v>
      </c>
      <c r="W15" s="162"/>
      <c r="Y15" s="667"/>
      <c r="Z15" s="668"/>
      <c r="AA15" s="42"/>
      <c r="AB15" s="32"/>
      <c r="AC15" s="11"/>
      <c r="AD15" s="23">
        <f t="shared" ref="AD15" si="28">AA15*AC15</f>
        <v>0</v>
      </c>
      <c r="AE15" s="164"/>
      <c r="AG15" s="667"/>
      <c r="AH15" s="668"/>
      <c r="AI15" s="42"/>
      <c r="AJ15" s="32"/>
      <c r="AK15" s="11"/>
      <c r="AL15" s="23">
        <f t="shared" ref="AL15" si="29">AI15*AK15</f>
        <v>0</v>
      </c>
      <c r="AM15" s="164"/>
      <c r="AO15" s="661"/>
      <c r="AP15" s="684"/>
      <c r="AQ15" s="455"/>
      <c r="AR15" s="32"/>
      <c r="AS15" s="11"/>
      <c r="AT15" s="23">
        <f t="shared" ref="AT15" si="30">AQ15*AS15</f>
        <v>0</v>
      </c>
      <c r="AU15" s="43"/>
      <c r="AW15" s="661"/>
      <c r="AX15" s="684"/>
      <c r="AY15" s="39"/>
      <c r="AZ15" s="32"/>
      <c r="BA15" s="11"/>
      <c r="BB15" s="23"/>
      <c r="BC15" s="164"/>
    </row>
    <row r="16" spans="1:55">
      <c r="A16" s="669"/>
      <c r="B16" s="670"/>
      <c r="C16" s="408"/>
      <c r="D16" s="31"/>
      <c r="E16" s="411"/>
      <c r="F16" s="412"/>
      <c r="G16" s="409"/>
      <c r="I16" s="662"/>
      <c r="J16" s="664"/>
      <c r="K16" s="38"/>
      <c r="L16" s="31"/>
      <c r="M16" s="13"/>
      <c r="N16" s="412"/>
      <c r="O16" s="163"/>
      <c r="Q16" s="662"/>
      <c r="R16" s="664"/>
      <c r="S16" s="408"/>
      <c r="T16" s="410"/>
      <c r="U16" s="411"/>
      <c r="V16" s="412"/>
      <c r="W16" s="163"/>
      <c r="Y16" s="662"/>
      <c r="Z16" s="664"/>
      <c r="AA16" s="41"/>
      <c r="AB16" s="31"/>
      <c r="AC16" s="13"/>
      <c r="AD16" s="412"/>
      <c r="AE16" s="163"/>
      <c r="AG16" s="662"/>
      <c r="AH16" s="664"/>
      <c r="AI16" s="41"/>
      <c r="AJ16" s="31"/>
      <c r="AK16" s="13"/>
      <c r="AL16" s="412"/>
      <c r="AM16" s="163"/>
      <c r="AO16" s="662"/>
      <c r="AP16" s="685"/>
      <c r="AQ16" s="408"/>
      <c r="AR16" s="410"/>
      <c r="AS16" s="411"/>
      <c r="AT16" s="412"/>
      <c r="AU16" s="163"/>
      <c r="AW16" s="662"/>
      <c r="AX16" s="686"/>
      <c r="AY16" s="408"/>
      <c r="AZ16" s="410"/>
      <c r="BA16" s="411"/>
      <c r="BB16" s="412"/>
      <c r="BC16" s="163"/>
    </row>
    <row r="17" spans="1:55" ht="18.75" customHeight="1">
      <c r="A17" s="667"/>
      <c r="B17" s="668"/>
      <c r="C17" s="39"/>
      <c r="D17" s="32"/>
      <c r="E17" s="11"/>
      <c r="F17" s="23">
        <f t="shared" ref="F17" si="31">C17*E17</f>
        <v>0</v>
      </c>
      <c r="G17" s="45"/>
      <c r="I17" s="661"/>
      <c r="J17" s="663"/>
      <c r="K17" s="39"/>
      <c r="L17" s="32"/>
      <c r="M17" s="11"/>
      <c r="N17" s="23">
        <f t="shared" ref="N17" si="32">K17*M17</f>
        <v>0</v>
      </c>
      <c r="O17" s="164"/>
      <c r="Q17" s="661"/>
      <c r="R17" s="668"/>
      <c r="S17" s="37"/>
      <c r="T17" s="32"/>
      <c r="U17" s="11"/>
      <c r="V17" s="23">
        <f t="shared" ref="V17" si="33">S17*U17</f>
        <v>0</v>
      </c>
      <c r="W17" s="164"/>
      <c r="Y17" s="661"/>
      <c r="Z17" s="663"/>
      <c r="AA17" s="42"/>
      <c r="AB17" s="32"/>
      <c r="AC17" s="11"/>
      <c r="AD17" s="23">
        <f t="shared" ref="AD17" si="34">AA17*AC17</f>
        <v>0</v>
      </c>
      <c r="AE17" s="164"/>
      <c r="AG17" s="661"/>
      <c r="AH17" s="663"/>
      <c r="AI17" s="42"/>
      <c r="AJ17" s="32"/>
      <c r="AK17" s="11"/>
      <c r="AL17" s="23">
        <f t="shared" ref="AL17" si="35">AI17*AK17</f>
        <v>0</v>
      </c>
      <c r="AM17" s="164"/>
      <c r="AO17" s="661"/>
      <c r="AP17" s="663"/>
      <c r="AQ17" s="39"/>
      <c r="AR17" s="32"/>
      <c r="AS17" s="11"/>
      <c r="AT17" s="23">
        <f t="shared" ref="AT17" si="36">AQ17*AS17</f>
        <v>0</v>
      </c>
      <c r="AU17" s="43"/>
      <c r="AW17" s="661"/>
      <c r="AX17" s="663"/>
      <c r="AY17" s="39"/>
      <c r="AZ17" s="32"/>
      <c r="BA17" s="11"/>
      <c r="BB17" s="23"/>
      <c r="BC17" s="164"/>
    </row>
    <row r="18" spans="1:55">
      <c r="A18" s="669"/>
      <c r="B18" s="670"/>
      <c r="C18" s="38"/>
      <c r="D18" s="31"/>
      <c r="E18" s="13"/>
      <c r="F18" s="412"/>
      <c r="G18" s="44"/>
      <c r="I18" s="662"/>
      <c r="J18" s="664"/>
      <c r="K18" s="38"/>
      <c r="L18" s="31"/>
      <c r="M18" s="13"/>
      <c r="N18" s="412"/>
      <c r="O18" s="163"/>
      <c r="Q18" s="662"/>
      <c r="R18" s="664"/>
      <c r="S18" s="408"/>
      <c r="T18" s="410"/>
      <c r="U18" s="411"/>
      <c r="V18" s="412"/>
      <c r="W18" s="163"/>
      <c r="Y18" s="662"/>
      <c r="Z18" s="664"/>
      <c r="AA18" s="41"/>
      <c r="AB18" s="31"/>
      <c r="AC18" s="13"/>
      <c r="AD18" s="412"/>
      <c r="AE18" s="163"/>
      <c r="AG18" s="662"/>
      <c r="AH18" s="664"/>
      <c r="AI18" s="41"/>
      <c r="AJ18" s="31"/>
      <c r="AK18" s="13"/>
      <c r="AL18" s="412"/>
      <c r="AM18" s="163"/>
      <c r="AO18" s="662"/>
      <c r="AP18" s="664"/>
      <c r="AQ18" s="408"/>
      <c r="AR18" s="410"/>
      <c r="AS18" s="411"/>
      <c r="AT18" s="412"/>
      <c r="AU18" s="163"/>
      <c r="AW18" s="662"/>
      <c r="AX18" s="664"/>
      <c r="AY18" s="408"/>
      <c r="AZ18" s="410"/>
      <c r="BA18" s="411"/>
      <c r="BB18" s="412"/>
      <c r="BC18" s="163"/>
    </row>
    <row r="19" spans="1:55" ht="18.75" customHeight="1">
      <c r="A19" s="667"/>
      <c r="B19" s="668"/>
      <c r="C19" s="39"/>
      <c r="D19" s="32"/>
      <c r="E19" s="11"/>
      <c r="F19" s="23">
        <f t="shared" ref="F19" si="37">C19*E19</f>
        <v>0</v>
      </c>
      <c r="G19" s="45"/>
      <c r="I19" s="661"/>
      <c r="J19" s="663"/>
      <c r="K19" s="39"/>
      <c r="L19" s="32"/>
      <c r="M19" s="11"/>
      <c r="N19" s="23">
        <f t="shared" ref="N19" si="38">K19*M19</f>
        <v>0</v>
      </c>
      <c r="O19" s="164"/>
      <c r="Q19" s="667"/>
      <c r="R19" s="668"/>
      <c r="S19" s="37"/>
      <c r="T19" s="32"/>
      <c r="U19" s="11"/>
      <c r="V19" s="23">
        <f t="shared" ref="V19" si="39">S19*U19</f>
        <v>0</v>
      </c>
      <c r="W19" s="164"/>
      <c r="Y19" s="667"/>
      <c r="Z19" s="668"/>
      <c r="AA19" s="42"/>
      <c r="AB19" s="32"/>
      <c r="AC19" s="11"/>
      <c r="AD19" s="23">
        <f t="shared" ref="AD19" si="40">AA19*AC19</f>
        <v>0</v>
      </c>
      <c r="AE19" s="164"/>
      <c r="AG19" s="667"/>
      <c r="AH19" s="668"/>
      <c r="AI19" s="42"/>
      <c r="AJ19" s="32"/>
      <c r="AK19" s="11"/>
      <c r="AL19" s="23">
        <f t="shared" ref="AL19" si="41">AI19*AK19</f>
        <v>0</v>
      </c>
      <c r="AM19" s="164"/>
      <c r="AO19" s="667"/>
      <c r="AP19" s="668"/>
      <c r="AQ19" s="39"/>
      <c r="AR19" s="32"/>
      <c r="AS19" s="11"/>
      <c r="AT19" s="23">
        <f t="shared" ref="AT19" si="42">AQ19*AS19</f>
        <v>0</v>
      </c>
      <c r="AU19" s="43"/>
      <c r="AW19" s="667"/>
      <c r="AX19" s="668"/>
      <c r="AY19" s="39"/>
      <c r="AZ19" s="32"/>
      <c r="BA19" s="11"/>
      <c r="BB19" s="23"/>
      <c r="BC19" s="164"/>
    </row>
    <row r="20" spans="1:55">
      <c r="A20" s="669"/>
      <c r="B20" s="670"/>
      <c r="C20" s="38"/>
      <c r="D20" s="31"/>
      <c r="E20" s="13"/>
      <c r="F20" s="412"/>
      <c r="G20" s="44"/>
      <c r="I20" s="662"/>
      <c r="J20" s="664"/>
      <c r="K20" s="38"/>
      <c r="L20" s="31"/>
      <c r="M20" s="13"/>
      <c r="N20" s="412"/>
      <c r="O20" s="163"/>
      <c r="Q20" s="662"/>
      <c r="R20" s="664"/>
      <c r="S20" s="408"/>
      <c r="T20" s="410"/>
      <c r="U20" s="411"/>
      <c r="V20" s="412"/>
      <c r="W20" s="163"/>
      <c r="Y20" s="662"/>
      <c r="Z20" s="664"/>
      <c r="AA20" s="41"/>
      <c r="AB20" s="31"/>
      <c r="AC20" s="13"/>
      <c r="AD20" s="412"/>
      <c r="AE20" s="163"/>
      <c r="AG20" s="662"/>
      <c r="AH20" s="664"/>
      <c r="AI20" s="41"/>
      <c r="AJ20" s="31"/>
      <c r="AK20" s="13"/>
      <c r="AL20" s="412"/>
      <c r="AM20" s="163"/>
      <c r="AO20" s="662"/>
      <c r="AP20" s="664"/>
      <c r="AQ20" s="408"/>
      <c r="AR20" s="410"/>
      <c r="AS20" s="411"/>
      <c r="AT20" s="412"/>
      <c r="AU20" s="163"/>
      <c r="AW20" s="669"/>
      <c r="AX20" s="670"/>
      <c r="AY20" s="408"/>
      <c r="AZ20" s="410"/>
      <c r="BA20" s="411"/>
      <c r="BB20" s="412"/>
      <c r="BC20" s="163"/>
    </row>
    <row r="21" spans="1:55">
      <c r="A21" s="661"/>
      <c r="B21" s="663"/>
      <c r="C21" s="39"/>
      <c r="D21" s="32"/>
      <c r="E21" s="11"/>
      <c r="F21" s="23">
        <f t="shared" ref="F21" si="43">C21*E21</f>
        <v>0</v>
      </c>
      <c r="G21" s="164"/>
      <c r="I21" s="661"/>
      <c r="J21" s="663"/>
      <c r="K21" s="39"/>
      <c r="L21" s="32"/>
      <c r="M21" s="11"/>
      <c r="N21" s="23">
        <f t="shared" ref="N21" si="44">K21*M21</f>
        <v>0</v>
      </c>
      <c r="O21" s="164"/>
      <c r="Q21" s="661"/>
      <c r="R21" s="663"/>
      <c r="S21" s="39"/>
      <c r="T21" s="32"/>
      <c r="U21" s="11"/>
      <c r="V21" s="23">
        <f t="shared" ref="V21" si="45">S21*U21</f>
        <v>0</v>
      </c>
      <c r="W21" s="164"/>
      <c r="Y21" s="661"/>
      <c r="Z21" s="663"/>
      <c r="AA21" s="42"/>
      <c r="AB21" s="32"/>
      <c r="AC21" s="11"/>
      <c r="AD21" s="23">
        <f t="shared" ref="AD21" si="46">AA21*AC21</f>
        <v>0</v>
      </c>
      <c r="AE21" s="164"/>
      <c r="AG21" s="661"/>
      <c r="AH21" s="663"/>
      <c r="AI21" s="42"/>
      <c r="AJ21" s="32"/>
      <c r="AK21" s="11"/>
      <c r="AL21" s="23">
        <f t="shared" ref="AL21" si="47">AI21*AK21</f>
        <v>0</v>
      </c>
      <c r="AM21" s="164"/>
      <c r="AO21" s="661"/>
      <c r="AP21" s="668"/>
      <c r="AQ21" s="39"/>
      <c r="AR21" s="32"/>
      <c r="AS21" s="11"/>
      <c r="AT21" s="23">
        <f t="shared" ref="AT21" si="48">AQ21*AS21</f>
        <v>0</v>
      </c>
      <c r="AU21" s="43"/>
      <c r="AW21" s="661"/>
      <c r="AX21" s="668"/>
      <c r="AY21" s="39"/>
      <c r="AZ21" s="32"/>
      <c r="BA21" s="11"/>
      <c r="BB21" s="23"/>
      <c r="BC21" s="164"/>
    </row>
    <row r="22" spans="1:55">
      <c r="A22" s="662"/>
      <c r="B22" s="664"/>
      <c r="C22" s="38"/>
      <c r="D22" s="31"/>
      <c r="E22" s="13"/>
      <c r="F22" s="412"/>
      <c r="G22" s="163"/>
      <c r="I22" s="662"/>
      <c r="J22" s="664"/>
      <c r="K22" s="38"/>
      <c r="L22" s="31"/>
      <c r="M22" s="13"/>
      <c r="N22" s="412"/>
      <c r="O22" s="163"/>
      <c r="Q22" s="662"/>
      <c r="R22" s="664"/>
      <c r="S22" s="38"/>
      <c r="T22" s="31"/>
      <c r="U22" s="13"/>
      <c r="V22" s="412"/>
      <c r="W22" s="163"/>
      <c r="Y22" s="662"/>
      <c r="Z22" s="664"/>
      <c r="AA22" s="41"/>
      <c r="AB22" s="31"/>
      <c r="AC22" s="13"/>
      <c r="AD22" s="412"/>
      <c r="AE22" s="163"/>
      <c r="AG22" s="662"/>
      <c r="AH22" s="664"/>
      <c r="AI22" s="41"/>
      <c r="AJ22" s="31"/>
      <c r="AK22" s="13"/>
      <c r="AL22" s="412"/>
      <c r="AM22" s="163"/>
      <c r="AO22" s="662"/>
      <c r="AP22" s="664"/>
      <c r="AQ22" s="408"/>
      <c r="AR22" s="410"/>
      <c r="AS22" s="411"/>
      <c r="AT22" s="412"/>
      <c r="AU22" s="163"/>
      <c r="AW22" s="662"/>
      <c r="AX22" s="670"/>
      <c r="AY22" s="408"/>
      <c r="AZ22" s="410"/>
      <c r="BA22" s="411"/>
      <c r="BB22" s="412"/>
      <c r="BC22" s="163"/>
    </row>
    <row r="23" spans="1:55">
      <c r="A23" s="661"/>
      <c r="B23" s="663"/>
      <c r="C23" s="39"/>
      <c r="D23" s="32"/>
      <c r="E23" s="11"/>
      <c r="F23" s="23">
        <f t="shared" ref="F23" si="49">C23*E23</f>
        <v>0</v>
      </c>
      <c r="G23" s="164"/>
      <c r="I23" s="661"/>
      <c r="J23" s="663"/>
      <c r="K23" s="39"/>
      <c r="L23" s="32"/>
      <c r="M23" s="11"/>
      <c r="N23" s="23">
        <f t="shared" ref="N23" si="50">K23*M23</f>
        <v>0</v>
      </c>
      <c r="O23" s="164"/>
      <c r="Q23" s="661"/>
      <c r="R23" s="663"/>
      <c r="S23" s="39"/>
      <c r="T23" s="32"/>
      <c r="U23" s="11"/>
      <c r="V23" s="23">
        <f t="shared" ref="V23" si="51">S23*U23</f>
        <v>0</v>
      </c>
      <c r="W23" s="164"/>
      <c r="Y23" s="661"/>
      <c r="Z23" s="663"/>
      <c r="AA23" s="42"/>
      <c r="AB23" s="32"/>
      <c r="AC23" s="11"/>
      <c r="AD23" s="23">
        <f t="shared" ref="AD23" si="52">AA23*AC23</f>
        <v>0</v>
      </c>
      <c r="AE23" s="164"/>
      <c r="AG23" s="661"/>
      <c r="AH23" s="663"/>
      <c r="AI23" s="42"/>
      <c r="AJ23" s="32"/>
      <c r="AK23" s="11"/>
      <c r="AL23" s="23">
        <f t="shared" ref="AL23" si="53">AI23*AK23</f>
        <v>0</v>
      </c>
      <c r="AM23" s="164"/>
      <c r="AO23" s="667"/>
      <c r="AP23" s="668"/>
      <c r="AQ23" s="39"/>
      <c r="AR23" s="32"/>
      <c r="AS23" s="11"/>
      <c r="AT23" s="23">
        <f t="shared" ref="AT23" si="54">AQ23*AS23</f>
        <v>0</v>
      </c>
      <c r="AU23" s="43"/>
      <c r="AW23" s="667"/>
      <c r="AX23" s="668"/>
      <c r="AY23" s="39"/>
      <c r="AZ23" s="32"/>
      <c r="BA23" s="11"/>
      <c r="BB23" s="23"/>
      <c r="BC23" s="164"/>
    </row>
    <row r="24" spans="1:55">
      <c r="A24" s="662"/>
      <c r="B24" s="664"/>
      <c r="C24" s="38"/>
      <c r="D24" s="31"/>
      <c r="E24" s="13"/>
      <c r="F24" s="412"/>
      <c r="G24" s="163"/>
      <c r="I24" s="662"/>
      <c r="J24" s="664"/>
      <c r="K24" s="38"/>
      <c r="L24" s="31"/>
      <c r="M24" s="13"/>
      <c r="N24" s="412"/>
      <c r="O24" s="163"/>
      <c r="Q24" s="662"/>
      <c r="R24" s="664"/>
      <c r="S24" s="38"/>
      <c r="T24" s="31"/>
      <c r="U24" s="13"/>
      <c r="V24" s="412"/>
      <c r="W24" s="163"/>
      <c r="Y24" s="662"/>
      <c r="Z24" s="664"/>
      <c r="AA24" s="41"/>
      <c r="AB24" s="31"/>
      <c r="AC24" s="13"/>
      <c r="AD24" s="412"/>
      <c r="AE24" s="163"/>
      <c r="AG24" s="662"/>
      <c r="AH24" s="664"/>
      <c r="AI24" s="41"/>
      <c r="AJ24" s="31"/>
      <c r="AK24" s="13"/>
      <c r="AL24" s="412"/>
      <c r="AM24" s="163"/>
      <c r="AO24" s="662"/>
      <c r="AP24" s="664"/>
      <c r="AQ24" s="408"/>
      <c r="AR24" s="410"/>
      <c r="AS24" s="411"/>
      <c r="AT24" s="412"/>
      <c r="AU24" s="163"/>
      <c r="AW24" s="669"/>
      <c r="AX24" s="670"/>
      <c r="AY24" s="408"/>
      <c r="AZ24" s="410"/>
      <c r="BA24" s="411"/>
      <c r="BB24" s="412"/>
      <c r="BC24" s="163"/>
    </row>
    <row r="25" spans="1:55" ht="18.75" customHeight="1">
      <c r="A25" s="661"/>
      <c r="B25" s="663"/>
      <c r="C25" s="39"/>
      <c r="D25" s="32"/>
      <c r="E25" s="11"/>
      <c r="F25" s="23">
        <f t="shared" ref="F25" si="55">C25*E25</f>
        <v>0</v>
      </c>
      <c r="G25" s="164"/>
      <c r="I25" s="661"/>
      <c r="J25" s="663"/>
      <c r="K25" s="39"/>
      <c r="L25" s="32"/>
      <c r="M25" s="11"/>
      <c r="N25" s="23">
        <f t="shared" ref="N25" si="56">K25*M25</f>
        <v>0</v>
      </c>
      <c r="O25" s="164"/>
      <c r="Q25" s="661"/>
      <c r="R25" s="663"/>
      <c r="S25" s="39"/>
      <c r="T25" s="32"/>
      <c r="U25" s="11"/>
      <c r="V25" s="23">
        <f t="shared" ref="V25" si="57">S25*U25</f>
        <v>0</v>
      </c>
      <c r="W25" s="164"/>
      <c r="Y25" s="661"/>
      <c r="Z25" s="663"/>
      <c r="AA25" s="42"/>
      <c r="AB25" s="32"/>
      <c r="AC25" s="11"/>
      <c r="AD25" s="23">
        <f t="shared" ref="AD25" si="58">AA25*AC25</f>
        <v>0</v>
      </c>
      <c r="AE25" s="164"/>
      <c r="AG25" s="661"/>
      <c r="AH25" s="663"/>
      <c r="AI25" s="42"/>
      <c r="AJ25" s="32"/>
      <c r="AK25" s="11"/>
      <c r="AL25" s="23">
        <f t="shared" ref="AL25" si="59">AI25*AK25</f>
        <v>0</v>
      </c>
      <c r="AM25" s="164"/>
      <c r="AO25" s="661"/>
      <c r="AP25" s="668"/>
      <c r="AQ25" s="39"/>
      <c r="AR25" s="32"/>
      <c r="AS25" s="11"/>
      <c r="AT25" s="23">
        <f t="shared" ref="AT25" si="60">AQ25*AS25</f>
        <v>0</v>
      </c>
      <c r="AU25" s="164"/>
      <c r="AW25" s="661"/>
      <c r="AX25" s="668"/>
      <c r="AY25" s="39"/>
      <c r="AZ25" s="32"/>
      <c r="BA25" s="29"/>
      <c r="BB25" s="23"/>
      <c r="BC25" s="164"/>
    </row>
    <row r="26" spans="1:55">
      <c r="A26" s="662"/>
      <c r="B26" s="664"/>
      <c r="C26" s="38"/>
      <c r="D26" s="31"/>
      <c r="E26" s="13"/>
      <c r="F26" s="412"/>
      <c r="G26" s="163"/>
      <c r="I26" s="662"/>
      <c r="J26" s="664"/>
      <c r="K26" s="38"/>
      <c r="L26" s="31"/>
      <c r="M26" s="13"/>
      <c r="N26" s="412"/>
      <c r="O26" s="163"/>
      <c r="Q26" s="662"/>
      <c r="R26" s="664"/>
      <c r="S26" s="38"/>
      <c r="T26" s="31"/>
      <c r="U26" s="13"/>
      <c r="V26" s="412"/>
      <c r="W26" s="163"/>
      <c r="Y26" s="662"/>
      <c r="Z26" s="664"/>
      <c r="AA26" s="41"/>
      <c r="AB26" s="31"/>
      <c r="AC26" s="13"/>
      <c r="AD26" s="412"/>
      <c r="AE26" s="163"/>
      <c r="AG26" s="662"/>
      <c r="AH26" s="664"/>
      <c r="AI26" s="41"/>
      <c r="AJ26" s="31"/>
      <c r="AK26" s="13"/>
      <c r="AL26" s="412"/>
      <c r="AM26" s="163"/>
      <c r="AO26" s="662"/>
      <c r="AP26" s="664"/>
      <c r="AQ26" s="408"/>
      <c r="AR26" s="410"/>
      <c r="AS26" s="411"/>
      <c r="AT26" s="412"/>
      <c r="AU26" s="163"/>
      <c r="AW26" s="662"/>
      <c r="AX26" s="670"/>
      <c r="AY26" s="408"/>
      <c r="AZ26" s="410"/>
      <c r="BA26" s="411"/>
      <c r="BB26" s="412"/>
      <c r="BC26" s="163"/>
    </row>
    <row r="27" spans="1:55">
      <c r="A27" s="661"/>
      <c r="B27" s="663"/>
      <c r="C27" s="39"/>
      <c r="D27" s="32"/>
      <c r="E27" s="11"/>
      <c r="F27" s="23">
        <f t="shared" ref="F27" si="61">C27*E27</f>
        <v>0</v>
      </c>
      <c r="G27" s="164"/>
      <c r="I27" s="661"/>
      <c r="J27" s="663"/>
      <c r="K27" s="39"/>
      <c r="L27" s="32"/>
      <c r="M27" s="11"/>
      <c r="N27" s="23">
        <f t="shared" ref="N27" si="62">K27*M27</f>
        <v>0</v>
      </c>
      <c r="O27" s="164"/>
      <c r="Q27" s="661"/>
      <c r="R27" s="663"/>
      <c r="S27" s="39"/>
      <c r="T27" s="32"/>
      <c r="U27" s="11"/>
      <c r="V27" s="23">
        <f t="shared" ref="V27" si="63">S27*U27</f>
        <v>0</v>
      </c>
      <c r="W27" s="164"/>
      <c r="Y27" s="661"/>
      <c r="Z27" s="663"/>
      <c r="AA27" s="42"/>
      <c r="AB27" s="32"/>
      <c r="AC27" s="11"/>
      <c r="AD27" s="23">
        <f t="shared" ref="AD27" si="64">AA27*AC27</f>
        <v>0</v>
      </c>
      <c r="AE27" s="164"/>
      <c r="AG27" s="661"/>
      <c r="AH27" s="663"/>
      <c r="AI27" s="42"/>
      <c r="AJ27" s="32"/>
      <c r="AK27" s="11"/>
      <c r="AL27" s="23">
        <f t="shared" ref="AL27" si="65">AI27*AK27</f>
        <v>0</v>
      </c>
      <c r="AM27" s="164"/>
      <c r="AO27" s="667"/>
      <c r="AP27" s="668"/>
      <c r="AQ27" s="39"/>
      <c r="AR27" s="32"/>
      <c r="AS27" s="11"/>
      <c r="AT27" s="23">
        <f t="shared" ref="AT27" si="66">AQ27*AS27</f>
        <v>0</v>
      </c>
      <c r="AU27" s="164"/>
      <c r="AW27" s="667"/>
      <c r="AX27" s="668"/>
      <c r="AY27" s="39"/>
      <c r="AZ27" s="32"/>
      <c r="BA27" s="11"/>
      <c r="BB27" s="23"/>
      <c r="BC27" s="164"/>
    </row>
    <row r="28" spans="1:55">
      <c r="A28" s="662"/>
      <c r="B28" s="664"/>
      <c r="C28" s="38"/>
      <c r="D28" s="31"/>
      <c r="E28" s="13"/>
      <c r="F28" s="412"/>
      <c r="G28" s="163"/>
      <c r="I28" s="662"/>
      <c r="J28" s="664"/>
      <c r="K28" s="38"/>
      <c r="L28" s="31"/>
      <c r="M28" s="13"/>
      <c r="N28" s="412"/>
      <c r="O28" s="163"/>
      <c r="Q28" s="662"/>
      <c r="R28" s="664"/>
      <c r="S28" s="38"/>
      <c r="T28" s="31"/>
      <c r="U28" s="13"/>
      <c r="V28" s="412"/>
      <c r="W28" s="163"/>
      <c r="Y28" s="662"/>
      <c r="Z28" s="664"/>
      <c r="AA28" s="41"/>
      <c r="AB28" s="31"/>
      <c r="AC28" s="13"/>
      <c r="AD28" s="412"/>
      <c r="AE28" s="163"/>
      <c r="AG28" s="662"/>
      <c r="AH28" s="664"/>
      <c r="AI28" s="41"/>
      <c r="AJ28" s="31"/>
      <c r="AK28" s="13"/>
      <c r="AL28" s="412"/>
      <c r="AM28" s="163"/>
      <c r="AO28" s="662"/>
      <c r="AP28" s="664"/>
      <c r="AQ28" s="408"/>
      <c r="AR28" s="410"/>
      <c r="AS28" s="411"/>
      <c r="AT28" s="412"/>
      <c r="AU28" s="163"/>
      <c r="AW28" s="669"/>
      <c r="AX28" s="670"/>
      <c r="AY28" s="408"/>
      <c r="AZ28" s="410"/>
      <c r="BA28" s="411"/>
      <c r="BB28" s="412"/>
      <c r="BC28" s="163"/>
    </row>
    <row r="29" spans="1:55" ht="18.75" customHeight="1">
      <c r="A29" s="661"/>
      <c r="B29" s="663"/>
      <c r="C29" s="39"/>
      <c r="D29" s="32"/>
      <c r="E29" s="11"/>
      <c r="F29" s="23">
        <f t="shared" ref="F29" si="67">C29*E29</f>
        <v>0</v>
      </c>
      <c r="G29" s="164"/>
      <c r="I29" s="661"/>
      <c r="J29" s="663"/>
      <c r="K29" s="39"/>
      <c r="L29" s="32"/>
      <c r="M29" s="11"/>
      <c r="N29" s="23">
        <f t="shared" ref="N29" si="68">K29*M29</f>
        <v>0</v>
      </c>
      <c r="O29" s="164"/>
      <c r="Q29" s="661"/>
      <c r="R29" s="663"/>
      <c r="S29" s="39"/>
      <c r="T29" s="32"/>
      <c r="U29" s="11"/>
      <c r="V29" s="23">
        <f t="shared" ref="V29" si="69">S29*U29</f>
        <v>0</v>
      </c>
      <c r="W29" s="164"/>
      <c r="Y29" s="661"/>
      <c r="Z29" s="663"/>
      <c r="AA29" s="42"/>
      <c r="AB29" s="32"/>
      <c r="AC29" s="11"/>
      <c r="AD29" s="23">
        <f t="shared" ref="AD29" si="70">AA29*AC29</f>
        <v>0</v>
      </c>
      <c r="AE29" s="164"/>
      <c r="AG29" s="661"/>
      <c r="AH29" s="663"/>
      <c r="AI29" s="42"/>
      <c r="AJ29" s="32"/>
      <c r="AK29" s="11"/>
      <c r="AL29" s="23">
        <f t="shared" ref="AL29" si="71">AI29*AK29</f>
        <v>0</v>
      </c>
      <c r="AM29" s="164"/>
      <c r="AO29" s="667"/>
      <c r="AP29" s="668"/>
      <c r="AQ29" s="455"/>
      <c r="AR29" s="32"/>
      <c r="AS29" s="11"/>
      <c r="AT29" s="23">
        <f t="shared" ref="AT29" si="72">AQ29*AS29</f>
        <v>0</v>
      </c>
      <c r="AU29" s="43"/>
      <c r="AW29" s="667"/>
      <c r="AX29" s="668"/>
      <c r="AY29" s="39"/>
      <c r="AZ29" s="32"/>
      <c r="BA29" s="29"/>
      <c r="BB29" s="23"/>
      <c r="BC29" s="164"/>
    </row>
    <row r="30" spans="1:55">
      <c r="A30" s="662"/>
      <c r="B30" s="664"/>
      <c r="C30" s="38"/>
      <c r="D30" s="31"/>
      <c r="E30" s="13"/>
      <c r="F30" s="412"/>
      <c r="G30" s="163"/>
      <c r="I30" s="662"/>
      <c r="J30" s="664"/>
      <c r="K30" s="38"/>
      <c r="L30" s="31"/>
      <c r="M30" s="13"/>
      <c r="N30" s="412"/>
      <c r="O30" s="163"/>
      <c r="Q30" s="662"/>
      <c r="R30" s="664"/>
      <c r="S30" s="38"/>
      <c r="T30" s="31"/>
      <c r="U30" s="13"/>
      <c r="V30" s="412"/>
      <c r="W30" s="163"/>
      <c r="Y30" s="662"/>
      <c r="Z30" s="664"/>
      <c r="AA30" s="41"/>
      <c r="AB30" s="31"/>
      <c r="AC30" s="13"/>
      <c r="AD30" s="412"/>
      <c r="AE30" s="163"/>
      <c r="AG30" s="662"/>
      <c r="AH30" s="664"/>
      <c r="AI30" s="41"/>
      <c r="AJ30" s="31"/>
      <c r="AK30" s="13"/>
      <c r="AL30" s="412"/>
      <c r="AM30" s="163"/>
      <c r="AO30" s="662"/>
      <c r="AP30" s="664"/>
      <c r="AQ30" s="408"/>
      <c r="AR30" s="410"/>
      <c r="AS30" s="411"/>
      <c r="AT30" s="412"/>
      <c r="AU30" s="163"/>
      <c r="AW30" s="669"/>
      <c r="AX30" s="670"/>
      <c r="AY30" s="408"/>
      <c r="AZ30" s="410"/>
      <c r="BA30" s="411"/>
      <c r="BB30" s="412"/>
      <c r="BC30" s="163"/>
    </row>
    <row r="31" spans="1:55" ht="18.75" customHeight="1">
      <c r="A31" s="661"/>
      <c r="B31" s="663"/>
      <c r="C31" s="39"/>
      <c r="D31" s="32"/>
      <c r="E31" s="11"/>
      <c r="F31" s="23">
        <f t="shared" ref="F31" si="73">C31*E31</f>
        <v>0</v>
      </c>
      <c r="G31" s="164"/>
      <c r="I31" s="661"/>
      <c r="J31" s="663"/>
      <c r="K31" s="39"/>
      <c r="L31" s="32"/>
      <c r="M31" s="11"/>
      <c r="N31" s="23">
        <f t="shared" ref="N31" si="74">K31*M31</f>
        <v>0</v>
      </c>
      <c r="O31" s="164"/>
      <c r="Q31" s="661"/>
      <c r="R31" s="663"/>
      <c r="S31" s="39"/>
      <c r="T31" s="32"/>
      <c r="U31" s="11"/>
      <c r="V31" s="23">
        <f t="shared" ref="V31" si="75">S31*U31</f>
        <v>0</v>
      </c>
      <c r="W31" s="164"/>
      <c r="Y31" s="661"/>
      <c r="Z31" s="663"/>
      <c r="AA31" s="42"/>
      <c r="AB31" s="32"/>
      <c r="AC31" s="11"/>
      <c r="AD31" s="23">
        <f t="shared" ref="AD31" si="76">AA31*AC31</f>
        <v>0</v>
      </c>
      <c r="AE31" s="164"/>
      <c r="AG31" s="661"/>
      <c r="AH31" s="663"/>
      <c r="AI31" s="42"/>
      <c r="AJ31" s="32"/>
      <c r="AK31" s="11"/>
      <c r="AL31" s="23">
        <f t="shared" ref="AL31" si="77">AI31*AK31</f>
        <v>0</v>
      </c>
      <c r="AM31" s="164"/>
      <c r="AO31" s="667"/>
      <c r="AP31" s="668"/>
      <c r="AQ31" s="455"/>
      <c r="AR31" s="32"/>
      <c r="AS31" s="11"/>
      <c r="AT31" s="23">
        <f t="shared" ref="AT31" si="78">AQ31*AS31</f>
        <v>0</v>
      </c>
      <c r="AU31" s="43"/>
      <c r="AW31" s="667"/>
      <c r="AX31" s="668"/>
      <c r="AY31" s="39"/>
      <c r="AZ31" s="32"/>
      <c r="BA31" s="29"/>
      <c r="BB31" s="23"/>
      <c r="BC31" s="164"/>
    </row>
    <row r="32" spans="1:55">
      <c r="A32" s="662"/>
      <c r="B32" s="664"/>
      <c r="C32" s="38"/>
      <c r="D32" s="31"/>
      <c r="E32" s="13"/>
      <c r="F32" s="412"/>
      <c r="G32" s="163"/>
      <c r="I32" s="662"/>
      <c r="J32" s="664"/>
      <c r="K32" s="38"/>
      <c r="L32" s="31"/>
      <c r="M32" s="13"/>
      <c r="N32" s="412"/>
      <c r="O32" s="163"/>
      <c r="Q32" s="662"/>
      <c r="R32" s="664"/>
      <c r="S32" s="38"/>
      <c r="T32" s="31"/>
      <c r="U32" s="13"/>
      <c r="V32" s="412"/>
      <c r="W32" s="163"/>
      <c r="Y32" s="662"/>
      <c r="Z32" s="664"/>
      <c r="AA32" s="41"/>
      <c r="AB32" s="31"/>
      <c r="AC32" s="13"/>
      <c r="AD32" s="412"/>
      <c r="AE32" s="163"/>
      <c r="AG32" s="662"/>
      <c r="AH32" s="664"/>
      <c r="AI32" s="41"/>
      <c r="AJ32" s="31"/>
      <c r="AK32" s="13"/>
      <c r="AL32" s="412"/>
      <c r="AM32" s="163"/>
      <c r="AO32" s="662"/>
      <c r="AP32" s="664"/>
      <c r="AQ32" s="408"/>
      <c r="AR32" s="410"/>
      <c r="AS32" s="411"/>
      <c r="AT32" s="412"/>
      <c r="AU32" s="163"/>
      <c r="AW32" s="669"/>
      <c r="AX32" s="670"/>
      <c r="AY32" s="408"/>
      <c r="AZ32" s="410"/>
      <c r="BA32" s="411"/>
      <c r="BB32" s="412"/>
      <c r="BC32" s="163"/>
    </row>
    <row r="33" spans="1:55" ht="18.75" customHeight="1">
      <c r="A33" s="661"/>
      <c r="B33" s="663"/>
      <c r="C33" s="39"/>
      <c r="D33" s="32"/>
      <c r="E33" s="11"/>
      <c r="F33" s="23">
        <f t="shared" ref="F33" si="79">C33*E33</f>
        <v>0</v>
      </c>
      <c r="G33" s="164"/>
      <c r="I33" s="661"/>
      <c r="J33" s="663"/>
      <c r="K33" s="39"/>
      <c r="L33" s="32"/>
      <c r="M33" s="11"/>
      <c r="N33" s="23">
        <f t="shared" ref="N33" si="80">K33*M33</f>
        <v>0</v>
      </c>
      <c r="O33" s="164"/>
      <c r="Q33" s="661"/>
      <c r="R33" s="663"/>
      <c r="S33" s="39"/>
      <c r="T33" s="32"/>
      <c r="U33" s="11"/>
      <c r="V33" s="23">
        <f t="shared" ref="V33" si="81">S33*U33</f>
        <v>0</v>
      </c>
      <c r="W33" s="164"/>
      <c r="Y33" s="661"/>
      <c r="Z33" s="663"/>
      <c r="AA33" s="42"/>
      <c r="AB33" s="32"/>
      <c r="AC33" s="11"/>
      <c r="AD33" s="23">
        <f t="shared" ref="AD33" si="82">AA33*AC33</f>
        <v>0</v>
      </c>
      <c r="AE33" s="164"/>
      <c r="AG33" s="661"/>
      <c r="AH33" s="663"/>
      <c r="AI33" s="42"/>
      <c r="AJ33" s="32"/>
      <c r="AK33" s="11"/>
      <c r="AL33" s="23">
        <f t="shared" ref="AL33" si="83">AI33*AK33</f>
        <v>0</v>
      </c>
      <c r="AM33" s="164"/>
      <c r="AO33" s="667"/>
      <c r="AP33" s="668"/>
      <c r="AQ33" s="455"/>
      <c r="AR33" s="32"/>
      <c r="AS33" s="11"/>
      <c r="AT33" s="23">
        <f t="shared" ref="AT33" si="84">AQ33*AS33</f>
        <v>0</v>
      </c>
      <c r="AU33" s="43"/>
      <c r="AW33" s="667"/>
      <c r="AX33" s="668"/>
      <c r="AY33" s="39"/>
      <c r="AZ33" s="32"/>
      <c r="BA33" s="11"/>
      <c r="BB33" s="23"/>
      <c r="BC33" s="164"/>
    </row>
    <row r="34" spans="1:55">
      <c r="A34" s="662"/>
      <c r="B34" s="664"/>
      <c r="C34" s="38"/>
      <c r="D34" s="31"/>
      <c r="E34" s="13"/>
      <c r="F34" s="412"/>
      <c r="G34" s="163"/>
      <c r="I34" s="662"/>
      <c r="J34" s="664"/>
      <c r="K34" s="38"/>
      <c r="L34" s="31"/>
      <c r="M34" s="13"/>
      <c r="N34" s="412"/>
      <c r="O34" s="163"/>
      <c r="Q34" s="662"/>
      <c r="R34" s="664"/>
      <c r="S34" s="38"/>
      <c r="T34" s="31"/>
      <c r="U34" s="13"/>
      <c r="V34" s="412"/>
      <c r="W34" s="163"/>
      <c r="Y34" s="662"/>
      <c r="Z34" s="664"/>
      <c r="AA34" s="41"/>
      <c r="AB34" s="31"/>
      <c r="AC34" s="13"/>
      <c r="AD34" s="412"/>
      <c r="AE34" s="163"/>
      <c r="AG34" s="662"/>
      <c r="AH34" s="664"/>
      <c r="AI34" s="41"/>
      <c r="AJ34" s="31"/>
      <c r="AK34" s="13"/>
      <c r="AL34" s="412"/>
      <c r="AM34" s="163"/>
      <c r="AO34" s="662"/>
      <c r="AP34" s="664"/>
      <c r="AQ34" s="408"/>
      <c r="AR34" s="410"/>
      <c r="AS34" s="411"/>
      <c r="AT34" s="412"/>
      <c r="AU34" s="163"/>
      <c r="AW34" s="669"/>
      <c r="AX34" s="670"/>
      <c r="AY34" s="408"/>
      <c r="AZ34" s="410"/>
      <c r="BA34" s="411"/>
      <c r="BB34" s="412"/>
      <c r="BC34" s="163"/>
    </row>
    <row r="35" spans="1:55" ht="18.75" customHeight="1">
      <c r="A35" s="661" t="s">
        <v>1145</v>
      </c>
      <c r="B35" s="663"/>
      <c r="C35" s="39"/>
      <c r="D35" s="10"/>
      <c r="E35" s="11"/>
      <c r="F35" s="23">
        <f t="shared" ref="F35" si="85">C35*E35</f>
        <v>0</v>
      </c>
      <c r="G35" s="164"/>
      <c r="I35" s="661"/>
      <c r="J35" s="663"/>
      <c r="K35" s="39"/>
      <c r="L35" s="32"/>
      <c r="M35" s="11"/>
      <c r="N35" s="23">
        <f t="shared" ref="N35" si="86">K35*M35</f>
        <v>0</v>
      </c>
      <c r="O35" s="164"/>
      <c r="Q35" s="661"/>
      <c r="R35" s="663"/>
      <c r="S35" s="39"/>
      <c r="T35" s="32"/>
      <c r="U35" s="11"/>
      <c r="V35" s="23">
        <f t="shared" ref="V35" si="87">S35*U35</f>
        <v>0</v>
      </c>
      <c r="W35" s="164"/>
      <c r="Y35" s="661"/>
      <c r="Z35" s="663"/>
      <c r="AA35" s="42"/>
      <c r="AB35" s="32"/>
      <c r="AC35" s="11"/>
      <c r="AD35" s="23">
        <f t="shared" ref="AD35" si="88">AA35*AC35</f>
        <v>0</v>
      </c>
      <c r="AE35" s="164"/>
      <c r="AG35" s="661"/>
      <c r="AH35" s="663"/>
      <c r="AI35" s="42"/>
      <c r="AJ35" s="32"/>
      <c r="AK35" s="11"/>
      <c r="AL35" s="23">
        <f t="shared" ref="AL35" si="89">AI35*AK35</f>
        <v>0</v>
      </c>
      <c r="AM35" s="164"/>
      <c r="AO35" s="667"/>
      <c r="AP35" s="668"/>
      <c r="AQ35" s="455"/>
      <c r="AR35" s="32"/>
      <c r="AS35" s="11"/>
      <c r="AT35" s="23">
        <f t="shared" ref="AT35" si="90">AQ35*AS35</f>
        <v>0</v>
      </c>
      <c r="AU35" s="43"/>
      <c r="AW35" s="667"/>
      <c r="AX35" s="668"/>
      <c r="AY35" s="39"/>
      <c r="AZ35" s="32"/>
      <c r="BA35" s="11"/>
      <c r="BB35" s="23"/>
      <c r="BC35" s="164"/>
    </row>
    <row r="36" spans="1:55">
      <c r="A36" s="662"/>
      <c r="B36" s="664"/>
      <c r="C36" s="38"/>
      <c r="D36" s="12"/>
      <c r="E36" s="13"/>
      <c r="F36" s="412"/>
      <c r="G36" s="163"/>
      <c r="I36" s="662"/>
      <c r="J36" s="664"/>
      <c r="K36" s="38"/>
      <c r="L36" s="31"/>
      <c r="M36" s="13"/>
      <c r="N36" s="412"/>
      <c r="O36" s="163"/>
      <c r="Q36" s="662"/>
      <c r="R36" s="664"/>
      <c r="S36" s="38"/>
      <c r="T36" s="31"/>
      <c r="U36" s="13"/>
      <c r="V36" s="412"/>
      <c r="W36" s="163"/>
      <c r="Y36" s="662"/>
      <c r="Z36" s="664"/>
      <c r="AA36" s="41"/>
      <c r="AB36" s="31"/>
      <c r="AC36" s="13"/>
      <c r="AD36" s="412"/>
      <c r="AE36" s="163"/>
      <c r="AG36" s="662"/>
      <c r="AH36" s="664"/>
      <c r="AI36" s="41"/>
      <c r="AJ36" s="31"/>
      <c r="AK36" s="13"/>
      <c r="AL36" s="412"/>
      <c r="AM36" s="163"/>
      <c r="AO36" s="662"/>
      <c r="AP36" s="664"/>
      <c r="AQ36" s="408"/>
      <c r="AR36" s="410"/>
      <c r="AS36" s="411"/>
      <c r="AT36" s="412"/>
      <c r="AU36" s="163"/>
      <c r="AW36" s="669"/>
      <c r="AX36" s="670"/>
      <c r="AY36" s="408"/>
      <c r="AZ36" s="410"/>
      <c r="BA36" s="411"/>
      <c r="BB36" s="412"/>
      <c r="BC36" s="163"/>
    </row>
    <row r="37" spans="1:55" ht="18.75" customHeight="1">
      <c r="A37" s="661"/>
      <c r="B37" s="663"/>
      <c r="C37" s="39"/>
      <c r="D37" s="32"/>
      <c r="E37" s="11"/>
      <c r="F37" s="23">
        <f t="shared" ref="F37" si="91">C37*E37</f>
        <v>0</v>
      </c>
      <c r="G37" s="164"/>
      <c r="I37" s="661"/>
      <c r="J37" s="663"/>
      <c r="K37" s="39"/>
      <c r="L37" s="32"/>
      <c r="M37" s="11"/>
      <c r="N37" s="23">
        <f t="shared" ref="N37" si="92">K37*M37</f>
        <v>0</v>
      </c>
      <c r="O37" s="164"/>
      <c r="Q37" s="661"/>
      <c r="R37" s="663"/>
      <c r="S37" s="39"/>
      <c r="T37" s="32"/>
      <c r="U37" s="11"/>
      <c r="V37" s="23">
        <f t="shared" ref="V37" si="93">S37*U37</f>
        <v>0</v>
      </c>
      <c r="W37" s="164"/>
      <c r="Y37" s="661"/>
      <c r="Z37" s="663"/>
      <c r="AA37" s="42"/>
      <c r="AB37" s="32"/>
      <c r="AC37" s="11"/>
      <c r="AD37" s="23">
        <f t="shared" ref="AD37" si="94">AA37*AC37</f>
        <v>0</v>
      </c>
      <c r="AE37" s="164"/>
      <c r="AG37" s="661"/>
      <c r="AH37" s="663"/>
      <c r="AI37" s="42"/>
      <c r="AJ37" s="32"/>
      <c r="AK37" s="11"/>
      <c r="AL37" s="23">
        <f t="shared" ref="AL37" si="95">AI37*AK37</f>
        <v>0</v>
      </c>
      <c r="AM37" s="164"/>
      <c r="AO37" s="667"/>
      <c r="AP37" s="684"/>
      <c r="AQ37" s="455"/>
      <c r="AR37" s="32"/>
      <c r="AS37" s="11"/>
      <c r="AT37" s="23">
        <f t="shared" ref="AT37" si="96">AQ37*AS37</f>
        <v>0</v>
      </c>
      <c r="AU37" s="43"/>
      <c r="AW37" s="667"/>
      <c r="AX37" s="684"/>
      <c r="AY37" s="39"/>
      <c r="AZ37" s="32"/>
      <c r="BA37" s="11"/>
      <c r="BB37" s="23"/>
      <c r="BC37" s="164"/>
    </row>
    <row r="38" spans="1:55">
      <c r="A38" s="662"/>
      <c r="B38" s="664"/>
      <c r="C38" s="38"/>
      <c r="D38" s="31"/>
      <c r="E38" s="13"/>
      <c r="F38" s="412"/>
      <c r="G38" s="163"/>
      <c r="I38" s="662"/>
      <c r="J38" s="664"/>
      <c r="K38" s="38"/>
      <c r="L38" s="31"/>
      <c r="M38" s="13"/>
      <c r="N38" s="412"/>
      <c r="O38" s="163"/>
      <c r="Q38" s="662"/>
      <c r="R38" s="664"/>
      <c r="S38" s="38"/>
      <c r="T38" s="31"/>
      <c r="U38" s="13"/>
      <c r="V38" s="412"/>
      <c r="W38" s="163"/>
      <c r="Y38" s="662"/>
      <c r="Z38" s="664"/>
      <c r="AA38" s="41"/>
      <c r="AB38" s="31"/>
      <c r="AC38" s="13"/>
      <c r="AD38" s="412"/>
      <c r="AE38" s="163"/>
      <c r="AG38" s="662"/>
      <c r="AH38" s="664"/>
      <c r="AI38" s="41"/>
      <c r="AJ38" s="31"/>
      <c r="AK38" s="13"/>
      <c r="AL38" s="412"/>
      <c r="AM38" s="163"/>
      <c r="AO38" s="662"/>
      <c r="AP38" s="685"/>
      <c r="AQ38" s="408"/>
      <c r="AR38" s="410"/>
      <c r="AS38" s="411"/>
      <c r="AT38" s="412"/>
      <c r="AU38" s="163"/>
      <c r="AW38" s="669"/>
      <c r="AX38" s="686"/>
      <c r="AY38" s="408"/>
      <c r="AZ38" s="410"/>
      <c r="BA38" s="411"/>
      <c r="BB38" s="412"/>
      <c r="BC38" s="163"/>
    </row>
    <row r="39" spans="1:55" ht="18.75" customHeight="1">
      <c r="A39" s="661"/>
      <c r="B39" s="663"/>
      <c r="C39" s="39"/>
      <c r="D39" s="32"/>
      <c r="E39" s="11"/>
      <c r="F39" s="23">
        <f t="shared" ref="F39" si="97">C39*E39</f>
        <v>0</v>
      </c>
      <c r="G39" s="164"/>
      <c r="I39" s="661"/>
      <c r="J39" s="663"/>
      <c r="K39" s="39"/>
      <c r="L39" s="32"/>
      <c r="M39" s="11"/>
      <c r="N39" s="23">
        <f t="shared" ref="N39" si="98">K39*M39</f>
        <v>0</v>
      </c>
      <c r="O39" s="164"/>
      <c r="Q39" s="661"/>
      <c r="R39" s="663"/>
      <c r="S39" s="39"/>
      <c r="T39" s="32"/>
      <c r="U39" s="11"/>
      <c r="V39" s="23">
        <f t="shared" ref="V39" si="99">S39*U39</f>
        <v>0</v>
      </c>
      <c r="W39" s="164"/>
      <c r="Y39" s="661"/>
      <c r="Z39" s="663"/>
      <c r="AA39" s="42"/>
      <c r="AB39" s="32"/>
      <c r="AC39" s="11"/>
      <c r="AD39" s="23">
        <f t="shared" ref="AD39" si="100">AA39*AC39</f>
        <v>0</v>
      </c>
      <c r="AE39" s="164"/>
      <c r="AG39" s="661"/>
      <c r="AH39" s="663"/>
      <c r="AI39" s="42"/>
      <c r="AJ39" s="32"/>
      <c r="AK39" s="11"/>
      <c r="AL39" s="23">
        <f t="shared" ref="AL39" si="101">AI39*AK39</f>
        <v>0</v>
      </c>
      <c r="AM39" s="164"/>
      <c r="AO39" s="667"/>
      <c r="AP39" s="663"/>
      <c r="AQ39" s="39"/>
      <c r="AR39" s="32"/>
      <c r="AS39" s="11"/>
      <c r="AT39" s="23">
        <f t="shared" ref="AT39" si="102">AQ39*AS39</f>
        <v>0</v>
      </c>
      <c r="AU39" s="43"/>
      <c r="AW39" s="667"/>
      <c r="AX39" s="663"/>
      <c r="AY39" s="39"/>
      <c r="AZ39" s="32"/>
      <c r="BA39" s="11"/>
      <c r="BB39" s="23"/>
      <c r="BC39" s="164"/>
    </row>
    <row r="40" spans="1:55">
      <c r="A40" s="662"/>
      <c r="B40" s="664"/>
      <c r="C40" s="38"/>
      <c r="D40" s="31"/>
      <c r="E40" s="13"/>
      <c r="F40" s="412"/>
      <c r="G40" s="163"/>
      <c r="I40" s="662"/>
      <c r="J40" s="664"/>
      <c r="K40" s="38"/>
      <c r="L40" s="31"/>
      <c r="M40" s="13"/>
      <c r="N40" s="412"/>
      <c r="O40" s="163"/>
      <c r="Q40" s="662"/>
      <c r="R40" s="664"/>
      <c r="S40" s="38"/>
      <c r="T40" s="31"/>
      <c r="U40" s="13"/>
      <c r="V40" s="412"/>
      <c r="W40" s="163"/>
      <c r="Y40" s="662"/>
      <c r="Z40" s="664"/>
      <c r="AA40" s="41"/>
      <c r="AB40" s="31"/>
      <c r="AC40" s="13"/>
      <c r="AD40" s="412"/>
      <c r="AE40" s="163"/>
      <c r="AG40" s="662"/>
      <c r="AH40" s="664"/>
      <c r="AI40" s="41"/>
      <c r="AJ40" s="31"/>
      <c r="AK40" s="13"/>
      <c r="AL40" s="412"/>
      <c r="AM40" s="163"/>
      <c r="AO40" s="662"/>
      <c r="AP40" s="664"/>
      <c r="AQ40" s="408"/>
      <c r="AR40" s="410"/>
      <c r="AS40" s="411"/>
      <c r="AT40" s="412"/>
      <c r="AU40" s="163"/>
      <c r="AW40" s="669"/>
      <c r="AX40" s="664"/>
      <c r="AY40" s="408"/>
      <c r="AZ40" s="410"/>
      <c r="BA40" s="411"/>
      <c r="BB40" s="412"/>
      <c r="BC40" s="163"/>
    </row>
    <row r="41" spans="1:55" ht="18.75" customHeight="1">
      <c r="A41" s="661"/>
      <c r="B41" s="663"/>
      <c r="C41" s="39"/>
      <c r="D41" s="32"/>
      <c r="E41" s="11"/>
      <c r="F41" s="23">
        <f t="shared" ref="F41" si="103">C41*E41</f>
        <v>0</v>
      </c>
      <c r="G41" s="164"/>
      <c r="I41" s="661"/>
      <c r="J41" s="663"/>
      <c r="K41" s="39"/>
      <c r="L41" s="32"/>
      <c r="M41" s="11"/>
      <c r="N41" s="23">
        <f t="shared" ref="N41" si="104">K41*M41</f>
        <v>0</v>
      </c>
      <c r="O41" s="164"/>
      <c r="Q41" s="661"/>
      <c r="R41" s="663"/>
      <c r="S41" s="39"/>
      <c r="T41" s="32"/>
      <c r="U41" s="11"/>
      <c r="V41" s="23">
        <f t="shared" ref="V41" si="105">S41*U41</f>
        <v>0</v>
      </c>
      <c r="W41" s="164"/>
      <c r="Y41" s="661"/>
      <c r="Z41" s="663"/>
      <c r="AA41" s="42"/>
      <c r="AB41" s="32"/>
      <c r="AC41" s="11"/>
      <c r="AD41" s="23">
        <f t="shared" ref="AD41" si="106">AA41*AC41</f>
        <v>0</v>
      </c>
      <c r="AE41" s="164"/>
      <c r="AG41" s="661"/>
      <c r="AH41" s="663"/>
      <c r="AI41" s="42"/>
      <c r="AJ41" s="32"/>
      <c r="AK41" s="11"/>
      <c r="AL41" s="23">
        <f t="shared" ref="AL41" si="107">AI41*AK41</f>
        <v>0</v>
      </c>
      <c r="AM41" s="164"/>
      <c r="AO41" s="667"/>
      <c r="AP41" s="663"/>
      <c r="AQ41" s="455"/>
      <c r="AR41" s="32"/>
      <c r="AS41" s="11"/>
      <c r="AT41" s="23">
        <f t="shared" ref="AT41" si="108">AQ41*AS41</f>
        <v>0</v>
      </c>
      <c r="AU41" s="43"/>
      <c r="AW41" s="667"/>
      <c r="AX41" s="663"/>
      <c r="AY41" s="39"/>
      <c r="AZ41" s="32"/>
      <c r="BA41" s="11"/>
      <c r="BB41" s="23"/>
      <c r="BC41" s="164"/>
    </row>
    <row r="42" spans="1:55">
      <c r="A42" s="662"/>
      <c r="B42" s="664"/>
      <c r="C42" s="38"/>
      <c r="D42" s="31"/>
      <c r="E42" s="13"/>
      <c r="F42" s="412"/>
      <c r="G42" s="163"/>
      <c r="I42" s="662"/>
      <c r="J42" s="664"/>
      <c r="K42" s="38"/>
      <c r="L42" s="31"/>
      <c r="M42" s="13"/>
      <c r="N42" s="412"/>
      <c r="O42" s="163"/>
      <c r="Q42" s="662"/>
      <c r="R42" s="664"/>
      <c r="S42" s="38"/>
      <c r="T42" s="31"/>
      <c r="U42" s="13"/>
      <c r="V42" s="412"/>
      <c r="W42" s="163"/>
      <c r="Y42" s="662"/>
      <c r="Z42" s="664"/>
      <c r="AA42" s="41"/>
      <c r="AB42" s="31"/>
      <c r="AC42" s="13"/>
      <c r="AD42" s="412"/>
      <c r="AE42" s="163"/>
      <c r="AG42" s="662"/>
      <c r="AH42" s="664"/>
      <c r="AI42" s="41"/>
      <c r="AJ42" s="31"/>
      <c r="AK42" s="13"/>
      <c r="AL42" s="412"/>
      <c r="AM42" s="163"/>
      <c r="AO42" s="662"/>
      <c r="AP42" s="664"/>
      <c r="AQ42" s="408"/>
      <c r="AR42" s="410"/>
      <c r="AS42" s="411"/>
      <c r="AT42" s="412"/>
      <c r="AU42" s="163"/>
      <c r="AW42" s="669"/>
      <c r="AX42" s="664"/>
      <c r="AY42" s="408"/>
      <c r="AZ42" s="410"/>
      <c r="BA42" s="411"/>
      <c r="BB42" s="412"/>
      <c r="BC42" s="163"/>
    </row>
    <row r="43" spans="1:55">
      <c r="A43" s="661"/>
      <c r="B43" s="663"/>
      <c r="C43" s="39"/>
      <c r="D43" s="32"/>
      <c r="E43" s="11"/>
      <c r="F43" s="23">
        <f t="shared" ref="F43" si="109">C43*E43</f>
        <v>0</v>
      </c>
      <c r="G43" s="164"/>
      <c r="I43" s="661"/>
      <c r="J43" s="663"/>
      <c r="K43" s="39"/>
      <c r="L43" s="32"/>
      <c r="M43" s="11"/>
      <c r="N43" s="23">
        <f t="shared" ref="N43" si="110">K43*M43</f>
        <v>0</v>
      </c>
      <c r="O43" s="164"/>
      <c r="Q43" s="661"/>
      <c r="R43" s="663"/>
      <c r="S43" s="39"/>
      <c r="T43" s="32"/>
      <c r="U43" s="11"/>
      <c r="V43" s="23">
        <f t="shared" ref="V43" si="111">S43*U43</f>
        <v>0</v>
      </c>
      <c r="W43" s="164"/>
      <c r="Y43" s="661"/>
      <c r="Z43" s="663"/>
      <c r="AA43" s="42"/>
      <c r="AB43" s="32"/>
      <c r="AC43" s="11"/>
      <c r="AD43" s="23">
        <f t="shared" ref="AD43" si="112">AA43*AC43</f>
        <v>0</v>
      </c>
      <c r="AE43" s="164"/>
      <c r="AG43" s="661"/>
      <c r="AH43" s="663"/>
      <c r="AI43" s="42"/>
      <c r="AJ43" s="32"/>
      <c r="AK43" s="11"/>
      <c r="AL43" s="23">
        <f t="shared" ref="AL43" si="113">AI43*AK43</f>
        <v>0</v>
      </c>
      <c r="AM43" s="164"/>
      <c r="AO43" s="661"/>
      <c r="AP43" s="663"/>
      <c r="AQ43" s="39"/>
      <c r="AR43" s="32"/>
      <c r="AS43" s="11"/>
      <c r="AT43" s="23">
        <f t="shared" ref="AT43" si="114">AQ43*AS43</f>
        <v>0</v>
      </c>
      <c r="AU43" s="43"/>
      <c r="AW43" s="661"/>
      <c r="AX43" s="663"/>
      <c r="AY43" s="39"/>
      <c r="AZ43" s="32"/>
      <c r="BA43" s="11"/>
      <c r="BB43" s="23"/>
      <c r="BC43" s="164"/>
    </row>
    <row r="44" spans="1:55">
      <c r="A44" s="662"/>
      <c r="B44" s="664"/>
      <c r="C44" s="38"/>
      <c r="D44" s="31"/>
      <c r="E44" s="13"/>
      <c r="F44" s="412"/>
      <c r="G44" s="163"/>
      <c r="I44" s="662"/>
      <c r="J44" s="664"/>
      <c r="K44" s="38"/>
      <c r="L44" s="488"/>
      <c r="M44" s="13"/>
      <c r="N44" s="412"/>
      <c r="O44" s="163"/>
      <c r="Q44" s="662"/>
      <c r="R44" s="664"/>
      <c r="S44" s="38"/>
      <c r="T44" s="31"/>
      <c r="U44" s="13"/>
      <c r="V44" s="412"/>
      <c r="W44" s="163"/>
      <c r="Y44" s="662"/>
      <c r="Z44" s="664"/>
      <c r="AA44" s="41"/>
      <c r="AB44" s="31"/>
      <c r="AC44" s="13"/>
      <c r="AD44" s="412"/>
      <c r="AE44" s="163"/>
      <c r="AG44" s="662"/>
      <c r="AH44" s="664"/>
      <c r="AI44" s="41"/>
      <c r="AJ44" s="31"/>
      <c r="AK44" s="13"/>
      <c r="AL44" s="412"/>
      <c r="AM44" s="163"/>
      <c r="AO44" s="662"/>
      <c r="AP44" s="664"/>
      <c r="AQ44" s="408"/>
      <c r="AR44" s="410"/>
      <c r="AS44" s="411"/>
      <c r="AT44" s="412"/>
      <c r="AU44" s="163"/>
      <c r="AW44" s="662"/>
      <c r="AX44" s="664"/>
      <c r="AY44" s="408"/>
      <c r="AZ44" s="410"/>
      <c r="BA44" s="411"/>
      <c r="BB44" s="412"/>
      <c r="BC44" s="163"/>
    </row>
    <row r="45" spans="1:55" ht="18.75" customHeight="1">
      <c r="A45" s="661"/>
      <c r="B45" s="663"/>
      <c r="C45" s="39"/>
      <c r="D45" s="32"/>
      <c r="E45" s="11"/>
      <c r="F45" s="23">
        <f t="shared" ref="F45" si="115">C45*E45</f>
        <v>0</v>
      </c>
      <c r="G45" s="164"/>
      <c r="I45" s="667" t="s">
        <v>256</v>
      </c>
      <c r="J45" s="663"/>
      <c r="K45" s="133">
        <v>1.45</v>
      </c>
      <c r="L45" s="32"/>
      <c r="M45" s="11">
        <f>+SUM(N5,N7,N9,N11,N13,N15,N17,N19,N21,N23,N25,N27,N29,N31,N33,N35,N37,N39,N41,N43,)</f>
        <v>0</v>
      </c>
      <c r="N45" s="23">
        <f t="shared" ref="N45" si="116">K45*M45</f>
        <v>0</v>
      </c>
      <c r="O45" s="45" t="s">
        <v>248</v>
      </c>
      <c r="Q45" s="667" t="s">
        <v>257</v>
      </c>
      <c r="R45" s="663"/>
      <c r="S45" s="133">
        <v>0.2</v>
      </c>
      <c r="T45" s="32"/>
      <c r="U45" s="11">
        <f>+SUM(V5,V7,V9,V11,V13,V15,V17,V19,V21,V23,V25,V27,V29,V31,V33,V35,V37,V39,V41,V43,)</f>
        <v>0</v>
      </c>
      <c r="V45" s="23">
        <f t="shared" ref="V45" si="117">S45*U45</f>
        <v>0</v>
      </c>
      <c r="W45" s="45" t="s">
        <v>248</v>
      </c>
      <c r="Y45" s="661"/>
      <c r="Z45" s="663"/>
      <c r="AA45" s="42"/>
      <c r="AB45" s="32"/>
      <c r="AC45" s="11"/>
      <c r="AD45" s="23">
        <f t="shared" ref="AD45" si="118">AA45*AC45</f>
        <v>0</v>
      </c>
      <c r="AE45" s="164"/>
      <c r="AG45" s="661"/>
      <c r="AH45" s="663"/>
      <c r="AI45" s="42"/>
      <c r="AJ45" s="32"/>
      <c r="AK45" s="11"/>
      <c r="AL45" s="23">
        <f t="shared" ref="AL45" si="119">AI45*AK45</f>
        <v>0</v>
      </c>
      <c r="AM45" s="164"/>
      <c r="AO45" s="661"/>
      <c r="AP45" s="663"/>
      <c r="AQ45" s="39"/>
      <c r="AR45" s="32"/>
      <c r="AS45" s="11"/>
      <c r="AT45" s="23">
        <f t="shared" ref="AT45" si="120">AQ45*AS45</f>
        <v>0</v>
      </c>
      <c r="AU45" s="43"/>
      <c r="AW45" s="661"/>
      <c r="AX45" s="663"/>
      <c r="AY45" s="39"/>
      <c r="AZ45" s="32"/>
      <c r="BA45" s="11"/>
      <c r="BB45" s="23"/>
      <c r="BC45" s="164"/>
    </row>
    <row r="46" spans="1:55" ht="19.5" thickBot="1">
      <c r="A46" s="665"/>
      <c r="B46" s="666"/>
      <c r="C46" s="47"/>
      <c r="D46" s="33"/>
      <c r="E46" s="27"/>
      <c r="F46" s="416"/>
      <c r="G46" s="170"/>
      <c r="I46" s="665"/>
      <c r="J46" s="666"/>
      <c r="K46" s="134"/>
      <c r="L46" s="33"/>
      <c r="M46" s="34"/>
      <c r="N46" s="416"/>
      <c r="O46" s="46" t="s">
        <v>1129</v>
      </c>
      <c r="Q46" s="665"/>
      <c r="R46" s="666"/>
      <c r="S46" s="134"/>
      <c r="T46" s="33"/>
      <c r="U46" s="34"/>
      <c r="V46" s="416"/>
      <c r="W46" s="46" t="s">
        <v>1089</v>
      </c>
      <c r="Y46" s="665"/>
      <c r="Z46" s="666"/>
      <c r="AA46" s="132"/>
      <c r="AB46" s="33"/>
      <c r="AC46" s="27"/>
      <c r="AD46" s="416"/>
      <c r="AE46" s="170"/>
      <c r="AG46" s="665"/>
      <c r="AH46" s="666"/>
      <c r="AI46" s="132"/>
      <c r="AJ46" s="33"/>
      <c r="AK46" s="27"/>
      <c r="AL46" s="416"/>
      <c r="AM46" s="170"/>
      <c r="AO46" s="662"/>
      <c r="AP46" s="664"/>
      <c r="AQ46" s="413"/>
      <c r="AR46" s="414"/>
      <c r="AS46" s="416"/>
      <c r="AT46" s="416"/>
      <c r="AU46" s="170"/>
      <c r="AW46" s="662"/>
      <c r="AX46" s="664"/>
      <c r="AY46" s="413"/>
      <c r="AZ46" s="414"/>
      <c r="BA46" s="415"/>
      <c r="BB46" s="416"/>
      <c r="BC46" s="170"/>
    </row>
    <row r="47" spans="1:55" ht="19.5" thickTop="1">
      <c r="A47" s="671"/>
      <c r="B47" s="672" t="s">
        <v>11</v>
      </c>
      <c r="C47" s="22"/>
      <c r="D47" s="22"/>
      <c r="E47" s="23"/>
      <c r="F47" s="23">
        <f>+SUM(F5,F7,F9,F11,F13,F15,F17,F19,F21,F23,F25,F27,F29,F31,F33,F35,F37,F39,F41,F43,F45)</f>
        <v>0</v>
      </c>
      <c r="G47" s="22"/>
      <c r="I47" s="671"/>
      <c r="J47" s="672" t="s">
        <v>11</v>
      </c>
      <c r="K47" s="22"/>
      <c r="L47" s="22"/>
      <c r="M47" s="23"/>
      <c r="N47" s="23">
        <f>+SUM(N5,N7,N9,N11,N13,N15,N17,N19,N21,N23,N25,N27,N29,N31,N33,N35,N37,N39,N41,N43,N45)</f>
        <v>0</v>
      </c>
      <c r="O47" s="22"/>
      <c r="Q47" s="671"/>
      <c r="R47" s="672" t="s">
        <v>11</v>
      </c>
      <c r="S47" s="22"/>
      <c r="T47" s="22"/>
      <c r="U47" s="23"/>
      <c r="V47" s="23">
        <f>+SUM(V5,V7,V9,V11,V13,V15,V17,V19,V21,V23,V25,V27,V29,V31,V33,V35,V37,V39,V41,V43,V45)</f>
        <v>0</v>
      </c>
      <c r="W47" s="22"/>
      <c r="Y47" s="671"/>
      <c r="Z47" s="672" t="s">
        <v>11</v>
      </c>
      <c r="AA47" s="22"/>
      <c r="AB47" s="22"/>
      <c r="AC47" s="23"/>
      <c r="AD47" s="23">
        <f>+SUM(AD5,AD7,AD8,AD9,AD11,AD13,AD15,AD17,AD19,AD21,AD23,AD25,AD27,AD29,AD31,AD33,AD35,AD37,AD39,AD41,AD43,AD45)</f>
        <v>0</v>
      </c>
      <c r="AE47" s="22"/>
      <c r="AG47" s="671"/>
      <c r="AH47" s="672" t="s">
        <v>11</v>
      </c>
      <c r="AI47" s="22"/>
      <c r="AJ47" s="22"/>
      <c r="AK47" s="23"/>
      <c r="AL47" s="23">
        <f>+SUM(AL5,AL7,AL9,AL11,AL13,AL15,AL17,AL19,AL21,AL23,AL25,AL27,AL29,AL31,AL33,AL35,AL37,AL39,AL41,AL43,AL45)</f>
        <v>0</v>
      </c>
      <c r="AM47" s="22"/>
      <c r="AO47" s="671"/>
      <c r="AP47" s="672" t="s">
        <v>11</v>
      </c>
      <c r="AQ47" s="22"/>
      <c r="AR47" s="22"/>
      <c r="AS47" s="23"/>
      <c r="AT47" s="23">
        <f>+SUM(AT5,AT6,AT7,AT9,AT11,AT13,AT15,AT17,AT19,AT21,AT23,AT25,AT27,AT29,AT31,AT33,AT35,AT37,AT39,AT41,AT43,AT45)</f>
        <v>0</v>
      </c>
      <c r="AU47" s="22"/>
      <c r="AW47" s="661"/>
      <c r="AX47" s="710" t="s">
        <v>11</v>
      </c>
      <c r="AY47" s="22"/>
      <c r="AZ47" s="22"/>
      <c r="BA47" s="23"/>
      <c r="BB47" s="23">
        <f>+SUM(BB5,BB7,BB9,BB11,BB13,BB15,BB17,BB19,BB21,BB23,BB25,BB27,BB29,BB31,BB33,BB35,BB37,BB39,BB41,BB43,BB45)</f>
        <v>0</v>
      </c>
      <c r="BC47" s="22"/>
    </row>
    <row r="48" spans="1:55">
      <c r="A48" s="662"/>
      <c r="B48" s="673"/>
      <c r="C48" s="12"/>
      <c r="D48" s="12"/>
      <c r="E48" s="13"/>
      <c r="F48" s="35"/>
      <c r="G48" s="12"/>
      <c r="I48" s="662"/>
      <c r="J48" s="673"/>
      <c r="K48" s="12"/>
      <c r="L48" s="12"/>
      <c r="M48" s="13"/>
      <c r="N48" s="35"/>
      <c r="O48" s="12"/>
      <c r="Q48" s="662"/>
      <c r="R48" s="673"/>
      <c r="S48" s="12"/>
      <c r="T48" s="12"/>
      <c r="U48" s="13"/>
      <c r="V48" s="35"/>
      <c r="W48" s="12"/>
      <c r="Y48" s="662"/>
      <c r="Z48" s="673"/>
      <c r="AA48" s="12"/>
      <c r="AB48" s="12"/>
      <c r="AC48" s="13"/>
      <c r="AD48" s="35"/>
      <c r="AE48" s="12"/>
      <c r="AG48" s="662"/>
      <c r="AH48" s="673"/>
      <c r="AI48" s="12"/>
      <c r="AJ48" s="12"/>
      <c r="AK48" s="13"/>
      <c r="AL48" s="35"/>
      <c r="AM48" s="12"/>
      <c r="AO48" s="662"/>
      <c r="AP48" s="673"/>
      <c r="AQ48" s="12"/>
      <c r="AR48" s="12"/>
      <c r="AS48" s="13"/>
      <c r="AT48" s="35"/>
      <c r="AU48" s="12"/>
      <c r="AW48" s="662"/>
      <c r="AX48" s="673"/>
      <c r="AY48" s="12"/>
      <c r="AZ48" s="12"/>
      <c r="BA48" s="13"/>
      <c r="BB48" s="412" t="e">
        <f>+SUM(BB6,BB8,BB10,BB12,BB14,BB16,BB18,BB20,BB22,BB24,BB26,BB28,BB30,BB32,BB34,BB36,BB38,BB40,BB42,BB44,BB46)</f>
        <v>#REF!</v>
      </c>
      <c r="BC48" s="12"/>
    </row>
    <row r="49" spans="1:9">
      <c r="A49" s="14"/>
      <c r="B49" s="14"/>
      <c r="C49" s="14"/>
      <c r="D49" s="14"/>
      <c r="E49" s="15"/>
      <c r="F49" s="15"/>
      <c r="G49" s="14"/>
    </row>
    <row r="63" spans="1:9">
      <c r="I63" s="491"/>
    </row>
  </sheetData>
  <mergeCells count="336">
    <mergeCell ref="AE2:AE3"/>
    <mergeCell ref="M2:N3"/>
    <mergeCell ref="O2:O3"/>
    <mergeCell ref="Q2:R3"/>
    <mergeCell ref="S2:T3"/>
    <mergeCell ref="U2:V3"/>
    <mergeCell ref="W2:W3"/>
    <mergeCell ref="C2:D3"/>
    <mergeCell ref="E2:F3"/>
    <mergeCell ref="G2:G3"/>
    <mergeCell ref="I2:J3"/>
    <mergeCell ref="K2:L3"/>
    <mergeCell ref="Y2:Z3"/>
    <mergeCell ref="AA2:AB3"/>
    <mergeCell ref="AC2:AD3"/>
    <mergeCell ref="A7:A8"/>
    <mergeCell ref="B7:B8"/>
    <mergeCell ref="I7:I8"/>
    <mergeCell ref="J7:J8"/>
    <mergeCell ref="Q7:Q8"/>
    <mergeCell ref="R7:R8"/>
    <mergeCell ref="Y5:Y6"/>
    <mergeCell ref="Z5:Z6"/>
    <mergeCell ref="A2:B3"/>
    <mergeCell ref="A5:A6"/>
    <mergeCell ref="B5:B6"/>
    <mergeCell ref="I5:I6"/>
    <mergeCell ref="J5:J6"/>
    <mergeCell ref="Q5:Q6"/>
    <mergeCell ref="R5:R6"/>
    <mergeCell ref="Y7:Y8"/>
    <mergeCell ref="Z7:Z8"/>
    <mergeCell ref="A11:A12"/>
    <mergeCell ref="B11:B12"/>
    <mergeCell ref="I11:I12"/>
    <mergeCell ref="J11:J12"/>
    <mergeCell ref="Q11:Q12"/>
    <mergeCell ref="R11:R12"/>
    <mergeCell ref="Y9:Y10"/>
    <mergeCell ref="Z9:Z10"/>
    <mergeCell ref="AG11:AG12"/>
    <mergeCell ref="Y11:Y12"/>
    <mergeCell ref="Z11:Z12"/>
    <mergeCell ref="A9:A10"/>
    <mergeCell ref="B9:B10"/>
    <mergeCell ref="I9:I10"/>
    <mergeCell ref="J9:J10"/>
    <mergeCell ref="Q9:Q10"/>
    <mergeCell ref="R9:R10"/>
    <mergeCell ref="Y15:Y16"/>
    <mergeCell ref="Z15:Z16"/>
    <mergeCell ref="I15:I16"/>
    <mergeCell ref="J15:J16"/>
    <mergeCell ref="Q15:Q16"/>
    <mergeCell ref="R15:R16"/>
    <mergeCell ref="Y13:Y14"/>
    <mergeCell ref="Z13:Z14"/>
    <mergeCell ref="I13:I14"/>
    <mergeCell ref="J13:J14"/>
    <mergeCell ref="Q13:Q14"/>
    <mergeCell ref="R13:R14"/>
    <mergeCell ref="Y19:Y20"/>
    <mergeCell ref="Z19:Z20"/>
    <mergeCell ref="A19:A20"/>
    <mergeCell ref="B19:B20"/>
    <mergeCell ref="I19:I20"/>
    <mergeCell ref="J19:J20"/>
    <mergeCell ref="Q19:Q20"/>
    <mergeCell ref="R19:R20"/>
    <mergeCell ref="Y17:Y18"/>
    <mergeCell ref="Z17:Z18"/>
    <mergeCell ref="A17:A18"/>
    <mergeCell ref="I17:I18"/>
    <mergeCell ref="J17:J18"/>
    <mergeCell ref="Q17:Q18"/>
    <mergeCell ref="R17:R18"/>
    <mergeCell ref="Y23:Y24"/>
    <mergeCell ref="Z23:Z24"/>
    <mergeCell ref="A23:A24"/>
    <mergeCell ref="B23:B24"/>
    <mergeCell ref="I23:I24"/>
    <mergeCell ref="J23:J24"/>
    <mergeCell ref="Q23:Q24"/>
    <mergeCell ref="R23:R24"/>
    <mergeCell ref="Y21:Y22"/>
    <mergeCell ref="Z21:Z22"/>
    <mergeCell ref="A21:A22"/>
    <mergeCell ref="B21:B22"/>
    <mergeCell ref="I21:I22"/>
    <mergeCell ref="J21:J22"/>
    <mergeCell ref="Q21:Q22"/>
    <mergeCell ref="R21:R22"/>
    <mergeCell ref="Y27:Y28"/>
    <mergeCell ref="Z27:Z28"/>
    <mergeCell ref="AG25:AG26"/>
    <mergeCell ref="AH25:AH26"/>
    <mergeCell ref="A27:A28"/>
    <mergeCell ref="B27:B28"/>
    <mergeCell ref="I27:I28"/>
    <mergeCell ref="J27:J28"/>
    <mergeCell ref="Q27:Q28"/>
    <mergeCell ref="R27:R28"/>
    <mergeCell ref="Y25:Y26"/>
    <mergeCell ref="Z25:Z26"/>
    <mergeCell ref="A25:A26"/>
    <mergeCell ref="B25:B26"/>
    <mergeCell ref="I25:I26"/>
    <mergeCell ref="J25:J26"/>
    <mergeCell ref="Q25:Q26"/>
    <mergeCell ref="R25:R26"/>
    <mergeCell ref="Y31:Y32"/>
    <mergeCell ref="Z31:Z32"/>
    <mergeCell ref="AG29:AG30"/>
    <mergeCell ref="AH29:AH30"/>
    <mergeCell ref="A31:A32"/>
    <mergeCell ref="B31:B32"/>
    <mergeCell ref="I31:I32"/>
    <mergeCell ref="J31:J32"/>
    <mergeCell ref="Q31:Q32"/>
    <mergeCell ref="R31:R32"/>
    <mergeCell ref="Y29:Y30"/>
    <mergeCell ref="Z29:Z30"/>
    <mergeCell ref="A29:A30"/>
    <mergeCell ref="B29:B30"/>
    <mergeCell ref="I29:I30"/>
    <mergeCell ref="J29:J30"/>
    <mergeCell ref="Q29:Q30"/>
    <mergeCell ref="R29:R30"/>
    <mergeCell ref="Y35:Y36"/>
    <mergeCell ref="Z35:Z36"/>
    <mergeCell ref="Y33:Y34"/>
    <mergeCell ref="Z33:Z34"/>
    <mergeCell ref="A35:A36"/>
    <mergeCell ref="B35:B36"/>
    <mergeCell ref="I35:I36"/>
    <mergeCell ref="J35:J36"/>
    <mergeCell ref="Q35:Q36"/>
    <mergeCell ref="R35:R36"/>
    <mergeCell ref="A33:A34"/>
    <mergeCell ref="B33:B34"/>
    <mergeCell ref="I33:I34"/>
    <mergeCell ref="J33:J34"/>
    <mergeCell ref="Q33:Q34"/>
    <mergeCell ref="R33:R34"/>
    <mergeCell ref="AG37:AG38"/>
    <mergeCell ref="AH37:AH38"/>
    <mergeCell ref="A39:A40"/>
    <mergeCell ref="B39:B40"/>
    <mergeCell ref="I39:I40"/>
    <mergeCell ref="J39:J40"/>
    <mergeCell ref="Q39:Q40"/>
    <mergeCell ref="R39:R40"/>
    <mergeCell ref="Y37:Y38"/>
    <mergeCell ref="Z37:Z38"/>
    <mergeCell ref="A37:A38"/>
    <mergeCell ref="B37:B38"/>
    <mergeCell ref="I37:I38"/>
    <mergeCell ref="J37:J38"/>
    <mergeCell ref="Q37:Q38"/>
    <mergeCell ref="R37:R38"/>
    <mergeCell ref="Q43:Q44"/>
    <mergeCell ref="R43:R44"/>
    <mergeCell ref="A41:A42"/>
    <mergeCell ref="B41:B42"/>
    <mergeCell ref="I41:I42"/>
    <mergeCell ref="J41:J42"/>
    <mergeCell ref="Q41:Q42"/>
    <mergeCell ref="R41:R42"/>
    <mergeCell ref="Z39:Z40"/>
    <mergeCell ref="Y43:Y44"/>
    <mergeCell ref="Z43:Z44"/>
    <mergeCell ref="Y47:Y48"/>
    <mergeCell ref="Z47:Z48"/>
    <mergeCell ref="AG45:AG46"/>
    <mergeCell ref="AH45:AH46"/>
    <mergeCell ref="Y45:Y46"/>
    <mergeCell ref="Z45:Z46"/>
    <mergeCell ref="AG43:AG44"/>
    <mergeCell ref="AH43:AH44"/>
    <mergeCell ref="A47:A48"/>
    <mergeCell ref="B47:B48"/>
    <mergeCell ref="I47:I48"/>
    <mergeCell ref="J47:J48"/>
    <mergeCell ref="Q47:Q48"/>
    <mergeCell ref="R47:R48"/>
    <mergeCell ref="A45:A46"/>
    <mergeCell ref="B45:B46"/>
    <mergeCell ref="I45:I46"/>
    <mergeCell ref="J45:J46"/>
    <mergeCell ref="Q45:Q46"/>
    <mergeCell ref="R45:R46"/>
    <mergeCell ref="A43:A44"/>
    <mergeCell ref="B43:B44"/>
    <mergeCell ref="I43:I44"/>
    <mergeCell ref="J43:J44"/>
    <mergeCell ref="AQ2:AR3"/>
    <mergeCell ref="AS2:AT3"/>
    <mergeCell ref="AU2:AU3"/>
    <mergeCell ref="AO5:AO6"/>
    <mergeCell ref="AP5:AP6"/>
    <mergeCell ref="AO7:AO8"/>
    <mergeCell ref="AP7:AP8"/>
    <mergeCell ref="AG19:AG20"/>
    <mergeCell ref="AH19:AH20"/>
    <mergeCell ref="AG15:AG16"/>
    <mergeCell ref="AH15:AH16"/>
    <mergeCell ref="AG9:AG10"/>
    <mergeCell ref="AH9:AH10"/>
    <mergeCell ref="AH11:AH12"/>
    <mergeCell ref="AH7:AH8"/>
    <mergeCell ref="AM2:AM3"/>
    <mergeCell ref="AG2:AH3"/>
    <mergeCell ref="AI2:AJ3"/>
    <mergeCell ref="AG7:AG8"/>
    <mergeCell ref="AG47:AG48"/>
    <mergeCell ref="AH47:AH48"/>
    <mergeCell ref="AO2:AP3"/>
    <mergeCell ref="AG39:AG40"/>
    <mergeCell ref="AH39:AH40"/>
    <mergeCell ref="AG35:AG36"/>
    <mergeCell ref="AH35:AH36"/>
    <mergeCell ref="AG31:AG32"/>
    <mergeCell ref="AH31:AH32"/>
    <mergeCell ref="AG27:AG28"/>
    <mergeCell ref="AH27:AH28"/>
    <mergeCell ref="AG23:AG24"/>
    <mergeCell ref="AH23:AH24"/>
    <mergeCell ref="AG21:AG22"/>
    <mergeCell ref="AH21:AH22"/>
    <mergeCell ref="AG17:AG18"/>
    <mergeCell ref="AH17:AH18"/>
    <mergeCell ref="AG13:AG14"/>
    <mergeCell ref="AG33:AG34"/>
    <mergeCell ref="AH33:AH34"/>
    <mergeCell ref="AH13:AH14"/>
    <mergeCell ref="AG5:AG6"/>
    <mergeCell ref="AH5:AH6"/>
    <mergeCell ref="AK2:AL3"/>
    <mergeCell ref="AO25:AO26"/>
    <mergeCell ref="AP25:AP26"/>
    <mergeCell ref="AO15:AO16"/>
    <mergeCell ref="AP15:AP16"/>
    <mergeCell ref="AO17:AO18"/>
    <mergeCell ref="AP17:AP18"/>
    <mergeCell ref="AO19:AO20"/>
    <mergeCell ref="AP19:AP20"/>
    <mergeCell ref="AO9:AO10"/>
    <mergeCell ref="AP9:AP10"/>
    <mergeCell ref="AO11:AO12"/>
    <mergeCell ref="AP11:AP12"/>
    <mergeCell ref="AO13:AO14"/>
    <mergeCell ref="AP13:AP14"/>
    <mergeCell ref="AO47:AO48"/>
    <mergeCell ref="AP47:AP48"/>
    <mergeCell ref="AO39:AO40"/>
    <mergeCell ref="AP39:AP40"/>
    <mergeCell ref="AO41:AO42"/>
    <mergeCell ref="AP41:AP42"/>
    <mergeCell ref="AO43:AO44"/>
    <mergeCell ref="AP43:AP44"/>
    <mergeCell ref="AO33:AO34"/>
    <mergeCell ref="AP33:AP34"/>
    <mergeCell ref="AO35:AO36"/>
    <mergeCell ref="AP35:AP36"/>
    <mergeCell ref="AO37:AO38"/>
    <mergeCell ref="AP37:AP38"/>
    <mergeCell ref="AG41:AG42"/>
    <mergeCell ref="AH41:AH42"/>
    <mergeCell ref="Y41:Y42"/>
    <mergeCell ref="Z41:Z42"/>
    <mergeCell ref="Y39:Y40"/>
    <mergeCell ref="AO45:AO46"/>
    <mergeCell ref="AP45:AP46"/>
    <mergeCell ref="AW2:AX3"/>
    <mergeCell ref="AY2:AZ3"/>
    <mergeCell ref="AW13:AW14"/>
    <mergeCell ref="AX13:AX14"/>
    <mergeCell ref="AW15:AW16"/>
    <mergeCell ref="AX15:AX16"/>
    <mergeCell ref="AW17:AW18"/>
    <mergeCell ref="AX17:AX18"/>
    <mergeCell ref="AW19:AW20"/>
    <mergeCell ref="AX19:AX20"/>
    <mergeCell ref="AW45:AW46"/>
    <mergeCell ref="AX45:AX46"/>
    <mergeCell ref="AO27:AO28"/>
    <mergeCell ref="AP27:AP28"/>
    <mergeCell ref="AO29:AO30"/>
    <mergeCell ref="AP29:AP30"/>
    <mergeCell ref="AO31:AO32"/>
    <mergeCell ref="BA2:BB3"/>
    <mergeCell ref="BC2:BC3"/>
    <mergeCell ref="AW5:AW6"/>
    <mergeCell ref="AX5:AX6"/>
    <mergeCell ref="AW7:AW8"/>
    <mergeCell ref="AX7:AX8"/>
    <mergeCell ref="AW9:AW10"/>
    <mergeCell ref="AX9:AX10"/>
    <mergeCell ref="AW11:AW12"/>
    <mergeCell ref="AX11:AX12"/>
    <mergeCell ref="AW47:AW48"/>
    <mergeCell ref="AX47:AX48"/>
    <mergeCell ref="AW31:AW32"/>
    <mergeCell ref="AX31:AX32"/>
    <mergeCell ref="AW33:AW34"/>
    <mergeCell ref="AX33:AX34"/>
    <mergeCell ref="AW35:AW36"/>
    <mergeCell ref="AX35:AX36"/>
    <mergeCell ref="AW37:AW38"/>
    <mergeCell ref="AX37:AX38"/>
    <mergeCell ref="AW39:AW40"/>
    <mergeCell ref="AX39:AX40"/>
    <mergeCell ref="A13:A14"/>
    <mergeCell ref="B13:B14"/>
    <mergeCell ref="A15:A16"/>
    <mergeCell ref="B15:B16"/>
    <mergeCell ref="B17:B18"/>
    <mergeCell ref="AW41:AW42"/>
    <mergeCell ref="AX41:AX42"/>
    <mergeCell ref="AW43:AW44"/>
    <mergeCell ref="AX43:AX44"/>
    <mergeCell ref="AW21:AW22"/>
    <mergeCell ref="AX21:AX22"/>
    <mergeCell ref="AW23:AW24"/>
    <mergeCell ref="AX23:AX24"/>
    <mergeCell ref="AW25:AW26"/>
    <mergeCell ref="AX25:AX26"/>
    <mergeCell ref="AW27:AW28"/>
    <mergeCell ref="AX27:AX28"/>
    <mergeCell ref="AW29:AW30"/>
    <mergeCell ref="AX29:AX30"/>
    <mergeCell ref="AP31:AP32"/>
    <mergeCell ref="AO21:AO22"/>
    <mergeCell ref="AP21:AP22"/>
    <mergeCell ref="AO23:AO24"/>
    <mergeCell ref="AP23:AP24"/>
  </mergeCells>
  <phoneticPr fontId="3"/>
  <printOptions horizontalCentered="1"/>
  <pageMargins left="0.78740157480314965" right="0.19685039370078741" top="0.74803149606299213" bottom="0.74803149606299213" header="0.31496062992125984" footer="0.31496062992125984"/>
  <pageSetup paperSize="9" scale="82"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7">
    <tabColor rgb="FFFFFF00"/>
  </sheetPr>
  <dimension ref="A1:AV78"/>
  <sheetViews>
    <sheetView showGridLines="0" showZeros="0" view="pageBreakPreview" zoomScale="115" zoomScaleNormal="100" zoomScaleSheetLayoutView="115" workbookViewId="0"/>
  </sheetViews>
  <sheetFormatPr defaultColWidth="5.625" defaultRowHeight="12.95" customHeight="1"/>
  <cols>
    <col min="1" max="1" width="7.625" style="175" customWidth="1"/>
    <col min="2" max="2" width="3.625" style="175" customWidth="1"/>
    <col min="3" max="5" width="5.625" style="175" customWidth="1"/>
    <col min="6" max="7" width="1.75" style="175" customWidth="1"/>
    <col min="8" max="11" width="0.875" style="175" customWidth="1"/>
    <col min="12" max="13" width="1.75" style="175" customWidth="1"/>
    <col min="14" max="14" width="5.625" style="175" customWidth="1"/>
    <col min="15" max="16" width="1.75" style="175" customWidth="1"/>
    <col min="17" max="20" width="0.875" style="175" customWidth="1"/>
    <col min="21" max="22" width="1.75" style="175" customWidth="1"/>
    <col min="23" max="23" width="5.625" style="175" customWidth="1"/>
    <col min="24" max="25" width="1.75" style="175" customWidth="1"/>
    <col min="26" max="29" width="0.875" style="175" customWidth="1"/>
    <col min="30" max="31" width="1.75" style="175" customWidth="1"/>
    <col min="32" max="32" width="5.625" style="175" customWidth="1"/>
    <col min="33" max="35" width="1.75" style="175" customWidth="1"/>
    <col min="36" max="37" width="0.875" style="175" customWidth="1"/>
    <col min="38" max="39" width="1.75" style="175" customWidth="1"/>
    <col min="40" max="40" width="5.625" style="175" customWidth="1"/>
    <col min="41" max="43" width="1.75" style="175" customWidth="1"/>
    <col min="44" max="45" width="0.875" style="175" customWidth="1"/>
    <col min="46" max="46" width="1.75" style="175" customWidth="1"/>
    <col min="47" max="47" width="1.625" style="175" customWidth="1"/>
    <col min="48" max="262" width="5.625" style="175"/>
    <col min="263" max="267" width="5.625" style="175" customWidth="1"/>
    <col min="268" max="275" width="1.75" style="175" customWidth="1"/>
    <col min="276" max="276" width="5.625" style="175" customWidth="1"/>
    <col min="277" max="284" width="1.75" style="175" customWidth="1"/>
    <col min="285" max="285" width="5.625" style="175" customWidth="1"/>
    <col min="286" max="293" width="1.75" style="175" customWidth="1"/>
    <col min="294" max="294" width="5.625" style="175" customWidth="1"/>
    <col min="295" max="302" width="1.75" style="175" customWidth="1"/>
    <col min="303" max="518" width="5.625" style="175"/>
    <col min="519" max="523" width="5.625" style="175" customWidth="1"/>
    <col min="524" max="531" width="1.75" style="175" customWidth="1"/>
    <col min="532" max="532" width="5.625" style="175" customWidth="1"/>
    <col min="533" max="540" width="1.75" style="175" customWidth="1"/>
    <col min="541" max="541" width="5.625" style="175" customWidth="1"/>
    <col min="542" max="549" width="1.75" style="175" customWidth="1"/>
    <col min="550" max="550" width="5.625" style="175" customWidth="1"/>
    <col min="551" max="558" width="1.75" style="175" customWidth="1"/>
    <col min="559" max="774" width="5.625" style="175"/>
    <col min="775" max="779" width="5.625" style="175" customWidth="1"/>
    <col min="780" max="787" width="1.75" style="175" customWidth="1"/>
    <col min="788" max="788" width="5.625" style="175" customWidth="1"/>
    <col min="789" max="796" width="1.75" style="175" customWidth="1"/>
    <col min="797" max="797" width="5.625" style="175" customWidth="1"/>
    <col min="798" max="805" width="1.75" style="175" customWidth="1"/>
    <col min="806" max="806" width="5.625" style="175" customWidth="1"/>
    <col min="807" max="814" width="1.75" style="175" customWidth="1"/>
    <col min="815" max="1030" width="5.625" style="175"/>
    <col min="1031" max="1035" width="5.625" style="175" customWidth="1"/>
    <col min="1036" max="1043" width="1.75" style="175" customWidth="1"/>
    <col min="1044" max="1044" width="5.625" style="175" customWidth="1"/>
    <col min="1045" max="1052" width="1.75" style="175" customWidth="1"/>
    <col min="1053" max="1053" width="5.625" style="175" customWidth="1"/>
    <col min="1054" max="1061" width="1.75" style="175" customWidth="1"/>
    <col min="1062" max="1062" width="5.625" style="175" customWidth="1"/>
    <col min="1063" max="1070" width="1.75" style="175" customWidth="1"/>
    <col min="1071" max="1286" width="5.625" style="175"/>
    <col min="1287" max="1291" width="5.625" style="175" customWidth="1"/>
    <col min="1292" max="1299" width="1.75" style="175" customWidth="1"/>
    <col min="1300" max="1300" width="5.625" style="175" customWidth="1"/>
    <col min="1301" max="1308" width="1.75" style="175" customWidth="1"/>
    <col min="1309" max="1309" width="5.625" style="175" customWidth="1"/>
    <col min="1310" max="1317" width="1.75" style="175" customWidth="1"/>
    <col min="1318" max="1318" width="5.625" style="175" customWidth="1"/>
    <col min="1319" max="1326" width="1.75" style="175" customWidth="1"/>
    <col min="1327" max="1542" width="5.625" style="175"/>
    <col min="1543" max="1547" width="5.625" style="175" customWidth="1"/>
    <col min="1548" max="1555" width="1.75" style="175" customWidth="1"/>
    <col min="1556" max="1556" width="5.625" style="175" customWidth="1"/>
    <col min="1557" max="1564" width="1.75" style="175" customWidth="1"/>
    <col min="1565" max="1565" width="5.625" style="175" customWidth="1"/>
    <col min="1566" max="1573" width="1.75" style="175" customWidth="1"/>
    <col min="1574" max="1574" width="5.625" style="175" customWidth="1"/>
    <col min="1575" max="1582" width="1.75" style="175" customWidth="1"/>
    <col min="1583" max="1798" width="5.625" style="175"/>
    <col min="1799" max="1803" width="5.625" style="175" customWidth="1"/>
    <col min="1804" max="1811" width="1.75" style="175" customWidth="1"/>
    <col min="1812" max="1812" width="5.625" style="175" customWidth="1"/>
    <col min="1813" max="1820" width="1.75" style="175" customWidth="1"/>
    <col min="1821" max="1821" width="5.625" style="175" customWidth="1"/>
    <col min="1822" max="1829" width="1.75" style="175" customWidth="1"/>
    <col min="1830" max="1830" width="5.625" style="175" customWidth="1"/>
    <col min="1831" max="1838" width="1.75" style="175" customWidth="1"/>
    <col min="1839" max="2054" width="5.625" style="175"/>
    <col min="2055" max="2059" width="5.625" style="175" customWidth="1"/>
    <col min="2060" max="2067" width="1.75" style="175" customWidth="1"/>
    <col min="2068" max="2068" width="5.625" style="175" customWidth="1"/>
    <col min="2069" max="2076" width="1.75" style="175" customWidth="1"/>
    <col min="2077" max="2077" width="5.625" style="175" customWidth="1"/>
    <col min="2078" max="2085" width="1.75" style="175" customWidth="1"/>
    <col min="2086" max="2086" width="5.625" style="175" customWidth="1"/>
    <col min="2087" max="2094" width="1.75" style="175" customWidth="1"/>
    <col min="2095" max="2310" width="5.625" style="175"/>
    <col min="2311" max="2315" width="5.625" style="175" customWidth="1"/>
    <col min="2316" max="2323" width="1.75" style="175" customWidth="1"/>
    <col min="2324" max="2324" width="5.625" style="175" customWidth="1"/>
    <col min="2325" max="2332" width="1.75" style="175" customWidth="1"/>
    <col min="2333" max="2333" width="5.625" style="175" customWidth="1"/>
    <col min="2334" max="2341" width="1.75" style="175" customWidth="1"/>
    <col min="2342" max="2342" width="5.625" style="175" customWidth="1"/>
    <col min="2343" max="2350" width="1.75" style="175" customWidth="1"/>
    <col min="2351" max="2566" width="5.625" style="175"/>
    <col min="2567" max="2571" width="5.625" style="175" customWidth="1"/>
    <col min="2572" max="2579" width="1.75" style="175" customWidth="1"/>
    <col min="2580" max="2580" width="5.625" style="175" customWidth="1"/>
    <col min="2581" max="2588" width="1.75" style="175" customWidth="1"/>
    <col min="2589" max="2589" width="5.625" style="175" customWidth="1"/>
    <col min="2590" max="2597" width="1.75" style="175" customWidth="1"/>
    <col min="2598" max="2598" width="5.625" style="175" customWidth="1"/>
    <col min="2599" max="2606" width="1.75" style="175" customWidth="1"/>
    <col min="2607" max="2822" width="5.625" style="175"/>
    <col min="2823" max="2827" width="5.625" style="175" customWidth="1"/>
    <col min="2828" max="2835" width="1.75" style="175" customWidth="1"/>
    <col min="2836" max="2836" width="5.625" style="175" customWidth="1"/>
    <col min="2837" max="2844" width="1.75" style="175" customWidth="1"/>
    <col min="2845" max="2845" width="5.625" style="175" customWidth="1"/>
    <col min="2846" max="2853" width="1.75" style="175" customWidth="1"/>
    <col min="2854" max="2854" width="5.625" style="175" customWidth="1"/>
    <col min="2855" max="2862" width="1.75" style="175" customWidth="1"/>
    <col min="2863" max="3078" width="5.625" style="175"/>
    <col min="3079" max="3083" width="5.625" style="175" customWidth="1"/>
    <col min="3084" max="3091" width="1.75" style="175" customWidth="1"/>
    <col min="3092" max="3092" width="5.625" style="175" customWidth="1"/>
    <col min="3093" max="3100" width="1.75" style="175" customWidth="1"/>
    <col min="3101" max="3101" width="5.625" style="175" customWidth="1"/>
    <col min="3102" max="3109" width="1.75" style="175" customWidth="1"/>
    <col min="3110" max="3110" width="5.625" style="175" customWidth="1"/>
    <col min="3111" max="3118" width="1.75" style="175" customWidth="1"/>
    <col min="3119" max="3334" width="5.625" style="175"/>
    <col min="3335" max="3339" width="5.625" style="175" customWidth="1"/>
    <col min="3340" max="3347" width="1.75" style="175" customWidth="1"/>
    <col min="3348" max="3348" width="5.625" style="175" customWidth="1"/>
    <col min="3349" max="3356" width="1.75" style="175" customWidth="1"/>
    <col min="3357" max="3357" width="5.625" style="175" customWidth="1"/>
    <col min="3358" max="3365" width="1.75" style="175" customWidth="1"/>
    <col min="3366" max="3366" width="5.625" style="175" customWidth="1"/>
    <col min="3367" max="3374" width="1.75" style="175" customWidth="1"/>
    <col min="3375" max="3590" width="5.625" style="175"/>
    <col min="3591" max="3595" width="5.625" style="175" customWidth="1"/>
    <col min="3596" max="3603" width="1.75" style="175" customWidth="1"/>
    <col min="3604" max="3604" width="5.625" style="175" customWidth="1"/>
    <col min="3605" max="3612" width="1.75" style="175" customWidth="1"/>
    <col min="3613" max="3613" width="5.625" style="175" customWidth="1"/>
    <col min="3614" max="3621" width="1.75" style="175" customWidth="1"/>
    <col min="3622" max="3622" width="5.625" style="175" customWidth="1"/>
    <col min="3623" max="3630" width="1.75" style="175" customWidth="1"/>
    <col min="3631" max="3846" width="5.625" style="175"/>
    <col min="3847" max="3851" width="5.625" style="175" customWidth="1"/>
    <col min="3852" max="3859" width="1.75" style="175" customWidth="1"/>
    <col min="3860" max="3860" width="5.625" style="175" customWidth="1"/>
    <col min="3861" max="3868" width="1.75" style="175" customWidth="1"/>
    <col min="3869" max="3869" width="5.625" style="175" customWidth="1"/>
    <col min="3870" max="3877" width="1.75" style="175" customWidth="1"/>
    <col min="3878" max="3878" width="5.625" style="175" customWidth="1"/>
    <col min="3879" max="3886" width="1.75" style="175" customWidth="1"/>
    <col min="3887" max="4102" width="5.625" style="175"/>
    <col min="4103" max="4107" width="5.625" style="175" customWidth="1"/>
    <col min="4108" max="4115" width="1.75" style="175" customWidth="1"/>
    <col min="4116" max="4116" width="5.625" style="175" customWidth="1"/>
    <col min="4117" max="4124" width="1.75" style="175" customWidth="1"/>
    <col min="4125" max="4125" width="5.625" style="175" customWidth="1"/>
    <col min="4126" max="4133" width="1.75" style="175" customWidth="1"/>
    <col min="4134" max="4134" width="5.625" style="175" customWidth="1"/>
    <col min="4135" max="4142" width="1.75" style="175" customWidth="1"/>
    <col min="4143" max="4358" width="5.625" style="175"/>
    <col min="4359" max="4363" width="5.625" style="175" customWidth="1"/>
    <col min="4364" max="4371" width="1.75" style="175" customWidth="1"/>
    <col min="4372" max="4372" width="5.625" style="175" customWidth="1"/>
    <col min="4373" max="4380" width="1.75" style="175" customWidth="1"/>
    <col min="4381" max="4381" width="5.625" style="175" customWidth="1"/>
    <col min="4382" max="4389" width="1.75" style="175" customWidth="1"/>
    <col min="4390" max="4390" width="5.625" style="175" customWidth="1"/>
    <col min="4391" max="4398" width="1.75" style="175" customWidth="1"/>
    <col min="4399" max="4614" width="5.625" style="175"/>
    <col min="4615" max="4619" width="5.625" style="175" customWidth="1"/>
    <col min="4620" max="4627" width="1.75" style="175" customWidth="1"/>
    <col min="4628" max="4628" width="5.625" style="175" customWidth="1"/>
    <col min="4629" max="4636" width="1.75" style="175" customWidth="1"/>
    <col min="4637" max="4637" width="5.625" style="175" customWidth="1"/>
    <col min="4638" max="4645" width="1.75" style="175" customWidth="1"/>
    <col min="4646" max="4646" width="5.625" style="175" customWidth="1"/>
    <col min="4647" max="4654" width="1.75" style="175" customWidth="1"/>
    <col min="4655" max="4870" width="5.625" style="175"/>
    <col min="4871" max="4875" width="5.625" style="175" customWidth="1"/>
    <col min="4876" max="4883" width="1.75" style="175" customWidth="1"/>
    <col min="4884" max="4884" width="5.625" style="175" customWidth="1"/>
    <col min="4885" max="4892" width="1.75" style="175" customWidth="1"/>
    <col min="4893" max="4893" width="5.625" style="175" customWidth="1"/>
    <col min="4894" max="4901" width="1.75" style="175" customWidth="1"/>
    <col min="4902" max="4902" width="5.625" style="175" customWidth="1"/>
    <col min="4903" max="4910" width="1.75" style="175" customWidth="1"/>
    <col min="4911" max="5126" width="5.625" style="175"/>
    <col min="5127" max="5131" width="5.625" style="175" customWidth="1"/>
    <col min="5132" max="5139" width="1.75" style="175" customWidth="1"/>
    <col min="5140" max="5140" width="5.625" style="175" customWidth="1"/>
    <col min="5141" max="5148" width="1.75" style="175" customWidth="1"/>
    <col min="5149" max="5149" width="5.625" style="175" customWidth="1"/>
    <col min="5150" max="5157" width="1.75" style="175" customWidth="1"/>
    <col min="5158" max="5158" width="5.625" style="175" customWidth="1"/>
    <col min="5159" max="5166" width="1.75" style="175" customWidth="1"/>
    <col min="5167" max="5382" width="5.625" style="175"/>
    <col min="5383" max="5387" width="5.625" style="175" customWidth="1"/>
    <col min="5388" max="5395" width="1.75" style="175" customWidth="1"/>
    <col min="5396" max="5396" width="5.625" style="175" customWidth="1"/>
    <col min="5397" max="5404" width="1.75" style="175" customWidth="1"/>
    <col min="5405" max="5405" width="5.625" style="175" customWidth="1"/>
    <col min="5406" max="5413" width="1.75" style="175" customWidth="1"/>
    <col min="5414" max="5414" width="5.625" style="175" customWidth="1"/>
    <col min="5415" max="5422" width="1.75" style="175" customWidth="1"/>
    <col min="5423" max="5638" width="5.625" style="175"/>
    <col min="5639" max="5643" width="5.625" style="175" customWidth="1"/>
    <col min="5644" max="5651" width="1.75" style="175" customWidth="1"/>
    <col min="5652" max="5652" width="5.625" style="175" customWidth="1"/>
    <col min="5653" max="5660" width="1.75" style="175" customWidth="1"/>
    <col min="5661" max="5661" width="5.625" style="175" customWidth="1"/>
    <col min="5662" max="5669" width="1.75" style="175" customWidth="1"/>
    <col min="5670" max="5670" width="5.625" style="175" customWidth="1"/>
    <col min="5671" max="5678" width="1.75" style="175" customWidth="1"/>
    <col min="5679" max="5894" width="5.625" style="175"/>
    <col min="5895" max="5899" width="5.625" style="175" customWidth="1"/>
    <col min="5900" max="5907" width="1.75" style="175" customWidth="1"/>
    <col min="5908" max="5908" width="5.625" style="175" customWidth="1"/>
    <col min="5909" max="5916" width="1.75" style="175" customWidth="1"/>
    <col min="5917" max="5917" width="5.625" style="175" customWidth="1"/>
    <col min="5918" max="5925" width="1.75" style="175" customWidth="1"/>
    <col min="5926" max="5926" width="5.625" style="175" customWidth="1"/>
    <col min="5927" max="5934" width="1.75" style="175" customWidth="1"/>
    <col min="5935" max="6150" width="5.625" style="175"/>
    <col min="6151" max="6155" width="5.625" style="175" customWidth="1"/>
    <col min="6156" max="6163" width="1.75" style="175" customWidth="1"/>
    <col min="6164" max="6164" width="5.625" style="175" customWidth="1"/>
    <col min="6165" max="6172" width="1.75" style="175" customWidth="1"/>
    <col min="6173" max="6173" width="5.625" style="175" customWidth="1"/>
    <col min="6174" max="6181" width="1.75" style="175" customWidth="1"/>
    <col min="6182" max="6182" width="5.625" style="175" customWidth="1"/>
    <col min="6183" max="6190" width="1.75" style="175" customWidth="1"/>
    <col min="6191" max="6406" width="5.625" style="175"/>
    <col min="6407" max="6411" width="5.625" style="175" customWidth="1"/>
    <col min="6412" max="6419" width="1.75" style="175" customWidth="1"/>
    <col min="6420" max="6420" width="5.625" style="175" customWidth="1"/>
    <col min="6421" max="6428" width="1.75" style="175" customWidth="1"/>
    <col min="6429" max="6429" width="5.625" style="175" customWidth="1"/>
    <col min="6430" max="6437" width="1.75" style="175" customWidth="1"/>
    <col min="6438" max="6438" width="5.625" style="175" customWidth="1"/>
    <col min="6439" max="6446" width="1.75" style="175" customWidth="1"/>
    <col min="6447" max="6662" width="5.625" style="175"/>
    <col min="6663" max="6667" width="5.625" style="175" customWidth="1"/>
    <col min="6668" max="6675" width="1.75" style="175" customWidth="1"/>
    <col min="6676" max="6676" width="5.625" style="175" customWidth="1"/>
    <col min="6677" max="6684" width="1.75" style="175" customWidth="1"/>
    <col min="6685" max="6685" width="5.625" style="175" customWidth="1"/>
    <col min="6686" max="6693" width="1.75" style="175" customWidth="1"/>
    <col min="6694" max="6694" width="5.625" style="175" customWidth="1"/>
    <col min="6695" max="6702" width="1.75" style="175" customWidth="1"/>
    <col min="6703" max="6918" width="5.625" style="175"/>
    <col min="6919" max="6923" width="5.625" style="175" customWidth="1"/>
    <col min="6924" max="6931" width="1.75" style="175" customWidth="1"/>
    <col min="6932" max="6932" width="5.625" style="175" customWidth="1"/>
    <col min="6933" max="6940" width="1.75" style="175" customWidth="1"/>
    <col min="6941" max="6941" width="5.625" style="175" customWidth="1"/>
    <col min="6942" max="6949" width="1.75" style="175" customWidth="1"/>
    <col min="6950" max="6950" width="5.625" style="175" customWidth="1"/>
    <col min="6951" max="6958" width="1.75" style="175" customWidth="1"/>
    <col min="6959" max="7174" width="5.625" style="175"/>
    <col min="7175" max="7179" width="5.625" style="175" customWidth="1"/>
    <col min="7180" max="7187" width="1.75" style="175" customWidth="1"/>
    <col min="7188" max="7188" width="5.625" style="175" customWidth="1"/>
    <col min="7189" max="7196" width="1.75" style="175" customWidth="1"/>
    <col min="7197" max="7197" width="5.625" style="175" customWidth="1"/>
    <col min="7198" max="7205" width="1.75" style="175" customWidth="1"/>
    <col min="7206" max="7206" width="5.625" style="175" customWidth="1"/>
    <col min="7207" max="7214" width="1.75" style="175" customWidth="1"/>
    <col min="7215" max="7430" width="5.625" style="175"/>
    <col min="7431" max="7435" width="5.625" style="175" customWidth="1"/>
    <col min="7436" max="7443" width="1.75" style="175" customWidth="1"/>
    <col min="7444" max="7444" width="5.625" style="175" customWidth="1"/>
    <col min="7445" max="7452" width="1.75" style="175" customWidth="1"/>
    <col min="7453" max="7453" width="5.625" style="175" customWidth="1"/>
    <col min="7454" max="7461" width="1.75" style="175" customWidth="1"/>
    <col min="7462" max="7462" width="5.625" style="175" customWidth="1"/>
    <col min="7463" max="7470" width="1.75" style="175" customWidth="1"/>
    <col min="7471" max="7686" width="5.625" style="175"/>
    <col min="7687" max="7691" width="5.625" style="175" customWidth="1"/>
    <col min="7692" max="7699" width="1.75" style="175" customWidth="1"/>
    <col min="7700" max="7700" width="5.625" style="175" customWidth="1"/>
    <col min="7701" max="7708" width="1.75" style="175" customWidth="1"/>
    <col min="7709" max="7709" width="5.625" style="175" customWidth="1"/>
    <col min="7710" max="7717" width="1.75" style="175" customWidth="1"/>
    <col min="7718" max="7718" width="5.625" style="175" customWidth="1"/>
    <col min="7719" max="7726" width="1.75" style="175" customWidth="1"/>
    <col min="7727" max="7942" width="5.625" style="175"/>
    <col min="7943" max="7947" width="5.625" style="175" customWidth="1"/>
    <col min="7948" max="7955" width="1.75" style="175" customWidth="1"/>
    <col min="7956" max="7956" width="5.625" style="175" customWidth="1"/>
    <col min="7957" max="7964" width="1.75" style="175" customWidth="1"/>
    <col min="7965" max="7965" width="5.625" style="175" customWidth="1"/>
    <col min="7966" max="7973" width="1.75" style="175" customWidth="1"/>
    <col min="7974" max="7974" width="5.625" style="175" customWidth="1"/>
    <col min="7975" max="7982" width="1.75" style="175" customWidth="1"/>
    <col min="7983" max="8198" width="5.625" style="175"/>
    <col min="8199" max="8203" width="5.625" style="175" customWidth="1"/>
    <col min="8204" max="8211" width="1.75" style="175" customWidth="1"/>
    <col min="8212" max="8212" width="5.625" style="175" customWidth="1"/>
    <col min="8213" max="8220" width="1.75" style="175" customWidth="1"/>
    <col min="8221" max="8221" width="5.625" style="175" customWidth="1"/>
    <col min="8222" max="8229" width="1.75" style="175" customWidth="1"/>
    <col min="8230" max="8230" width="5.625" style="175" customWidth="1"/>
    <col min="8231" max="8238" width="1.75" style="175" customWidth="1"/>
    <col min="8239" max="8454" width="5.625" style="175"/>
    <col min="8455" max="8459" width="5.625" style="175" customWidth="1"/>
    <col min="8460" max="8467" width="1.75" style="175" customWidth="1"/>
    <col min="8468" max="8468" width="5.625" style="175" customWidth="1"/>
    <col min="8469" max="8476" width="1.75" style="175" customWidth="1"/>
    <col min="8477" max="8477" width="5.625" style="175" customWidth="1"/>
    <col min="8478" max="8485" width="1.75" style="175" customWidth="1"/>
    <col min="8486" max="8486" width="5.625" style="175" customWidth="1"/>
    <col min="8487" max="8494" width="1.75" style="175" customWidth="1"/>
    <col min="8495" max="8710" width="5.625" style="175"/>
    <col min="8711" max="8715" width="5.625" style="175" customWidth="1"/>
    <col min="8716" max="8723" width="1.75" style="175" customWidth="1"/>
    <col min="8724" max="8724" width="5.625" style="175" customWidth="1"/>
    <col min="8725" max="8732" width="1.75" style="175" customWidth="1"/>
    <col min="8733" max="8733" width="5.625" style="175" customWidth="1"/>
    <col min="8734" max="8741" width="1.75" style="175" customWidth="1"/>
    <col min="8742" max="8742" width="5.625" style="175" customWidth="1"/>
    <col min="8743" max="8750" width="1.75" style="175" customWidth="1"/>
    <col min="8751" max="8966" width="5.625" style="175"/>
    <col min="8967" max="8971" width="5.625" style="175" customWidth="1"/>
    <col min="8972" max="8979" width="1.75" style="175" customWidth="1"/>
    <col min="8980" max="8980" width="5.625" style="175" customWidth="1"/>
    <col min="8981" max="8988" width="1.75" style="175" customWidth="1"/>
    <col min="8989" max="8989" width="5.625" style="175" customWidth="1"/>
    <col min="8990" max="8997" width="1.75" style="175" customWidth="1"/>
    <col min="8998" max="8998" width="5.625" style="175" customWidth="1"/>
    <col min="8999" max="9006" width="1.75" style="175" customWidth="1"/>
    <col min="9007" max="9222" width="5.625" style="175"/>
    <col min="9223" max="9227" width="5.625" style="175" customWidth="1"/>
    <col min="9228" max="9235" width="1.75" style="175" customWidth="1"/>
    <col min="9236" max="9236" width="5.625" style="175" customWidth="1"/>
    <col min="9237" max="9244" width="1.75" style="175" customWidth="1"/>
    <col min="9245" max="9245" width="5.625" style="175" customWidth="1"/>
    <col min="9246" max="9253" width="1.75" style="175" customWidth="1"/>
    <col min="9254" max="9254" width="5.625" style="175" customWidth="1"/>
    <col min="9255" max="9262" width="1.75" style="175" customWidth="1"/>
    <col min="9263" max="9478" width="5.625" style="175"/>
    <col min="9479" max="9483" width="5.625" style="175" customWidth="1"/>
    <col min="9484" max="9491" width="1.75" style="175" customWidth="1"/>
    <col min="9492" max="9492" width="5.625" style="175" customWidth="1"/>
    <col min="9493" max="9500" width="1.75" style="175" customWidth="1"/>
    <col min="9501" max="9501" width="5.625" style="175" customWidth="1"/>
    <col min="9502" max="9509" width="1.75" style="175" customWidth="1"/>
    <col min="9510" max="9510" width="5.625" style="175" customWidth="1"/>
    <col min="9511" max="9518" width="1.75" style="175" customWidth="1"/>
    <col min="9519" max="9734" width="5.625" style="175"/>
    <col min="9735" max="9739" width="5.625" style="175" customWidth="1"/>
    <col min="9740" max="9747" width="1.75" style="175" customWidth="1"/>
    <col min="9748" max="9748" width="5.625" style="175" customWidth="1"/>
    <col min="9749" max="9756" width="1.75" style="175" customWidth="1"/>
    <col min="9757" max="9757" width="5.625" style="175" customWidth="1"/>
    <col min="9758" max="9765" width="1.75" style="175" customWidth="1"/>
    <col min="9766" max="9766" width="5.625" style="175" customWidth="1"/>
    <col min="9767" max="9774" width="1.75" style="175" customWidth="1"/>
    <col min="9775" max="9990" width="5.625" style="175"/>
    <col min="9991" max="9995" width="5.625" style="175" customWidth="1"/>
    <col min="9996" max="10003" width="1.75" style="175" customWidth="1"/>
    <col min="10004" max="10004" width="5.625" style="175" customWidth="1"/>
    <col min="10005" max="10012" width="1.75" style="175" customWidth="1"/>
    <col min="10013" max="10013" width="5.625" style="175" customWidth="1"/>
    <col min="10014" max="10021" width="1.75" style="175" customWidth="1"/>
    <col min="10022" max="10022" width="5.625" style="175" customWidth="1"/>
    <col min="10023" max="10030" width="1.75" style="175" customWidth="1"/>
    <col min="10031" max="10246" width="5.625" style="175"/>
    <col min="10247" max="10251" width="5.625" style="175" customWidth="1"/>
    <col min="10252" max="10259" width="1.75" style="175" customWidth="1"/>
    <col min="10260" max="10260" width="5.625" style="175" customWidth="1"/>
    <col min="10261" max="10268" width="1.75" style="175" customWidth="1"/>
    <col min="10269" max="10269" width="5.625" style="175" customWidth="1"/>
    <col min="10270" max="10277" width="1.75" style="175" customWidth="1"/>
    <col min="10278" max="10278" width="5.625" style="175" customWidth="1"/>
    <col min="10279" max="10286" width="1.75" style="175" customWidth="1"/>
    <col min="10287" max="10502" width="5.625" style="175"/>
    <col min="10503" max="10507" width="5.625" style="175" customWidth="1"/>
    <col min="10508" max="10515" width="1.75" style="175" customWidth="1"/>
    <col min="10516" max="10516" width="5.625" style="175" customWidth="1"/>
    <col min="10517" max="10524" width="1.75" style="175" customWidth="1"/>
    <col min="10525" max="10525" width="5.625" style="175" customWidth="1"/>
    <col min="10526" max="10533" width="1.75" style="175" customWidth="1"/>
    <col min="10534" max="10534" width="5.625" style="175" customWidth="1"/>
    <col min="10535" max="10542" width="1.75" style="175" customWidth="1"/>
    <col min="10543" max="10758" width="5.625" style="175"/>
    <col min="10759" max="10763" width="5.625" style="175" customWidth="1"/>
    <col min="10764" max="10771" width="1.75" style="175" customWidth="1"/>
    <col min="10772" max="10772" width="5.625" style="175" customWidth="1"/>
    <col min="10773" max="10780" width="1.75" style="175" customWidth="1"/>
    <col min="10781" max="10781" width="5.625" style="175" customWidth="1"/>
    <col min="10782" max="10789" width="1.75" style="175" customWidth="1"/>
    <col min="10790" max="10790" width="5.625" style="175" customWidth="1"/>
    <col min="10791" max="10798" width="1.75" style="175" customWidth="1"/>
    <col min="10799" max="11014" width="5.625" style="175"/>
    <col min="11015" max="11019" width="5.625" style="175" customWidth="1"/>
    <col min="11020" max="11027" width="1.75" style="175" customWidth="1"/>
    <col min="11028" max="11028" width="5.625" style="175" customWidth="1"/>
    <col min="11029" max="11036" width="1.75" style="175" customWidth="1"/>
    <col min="11037" max="11037" width="5.625" style="175" customWidth="1"/>
    <col min="11038" max="11045" width="1.75" style="175" customWidth="1"/>
    <col min="11046" max="11046" width="5.625" style="175" customWidth="1"/>
    <col min="11047" max="11054" width="1.75" style="175" customWidth="1"/>
    <col min="11055" max="11270" width="5.625" style="175"/>
    <col min="11271" max="11275" width="5.625" style="175" customWidth="1"/>
    <col min="11276" max="11283" width="1.75" style="175" customWidth="1"/>
    <col min="11284" max="11284" width="5.625" style="175" customWidth="1"/>
    <col min="11285" max="11292" width="1.75" style="175" customWidth="1"/>
    <col min="11293" max="11293" width="5.625" style="175" customWidth="1"/>
    <col min="11294" max="11301" width="1.75" style="175" customWidth="1"/>
    <col min="11302" max="11302" width="5.625" style="175" customWidth="1"/>
    <col min="11303" max="11310" width="1.75" style="175" customWidth="1"/>
    <col min="11311" max="11526" width="5.625" style="175"/>
    <col min="11527" max="11531" width="5.625" style="175" customWidth="1"/>
    <col min="11532" max="11539" width="1.75" style="175" customWidth="1"/>
    <col min="11540" max="11540" width="5.625" style="175" customWidth="1"/>
    <col min="11541" max="11548" width="1.75" style="175" customWidth="1"/>
    <col min="11549" max="11549" width="5.625" style="175" customWidth="1"/>
    <col min="11550" max="11557" width="1.75" style="175" customWidth="1"/>
    <col min="11558" max="11558" width="5.625" style="175" customWidth="1"/>
    <col min="11559" max="11566" width="1.75" style="175" customWidth="1"/>
    <col min="11567" max="11782" width="5.625" style="175"/>
    <col min="11783" max="11787" width="5.625" style="175" customWidth="1"/>
    <col min="11788" max="11795" width="1.75" style="175" customWidth="1"/>
    <col min="11796" max="11796" width="5.625" style="175" customWidth="1"/>
    <col min="11797" max="11804" width="1.75" style="175" customWidth="1"/>
    <col min="11805" max="11805" width="5.625" style="175" customWidth="1"/>
    <col min="11806" max="11813" width="1.75" style="175" customWidth="1"/>
    <col min="11814" max="11814" width="5.625" style="175" customWidth="1"/>
    <col min="11815" max="11822" width="1.75" style="175" customWidth="1"/>
    <col min="11823" max="12038" width="5.625" style="175"/>
    <col min="12039" max="12043" width="5.625" style="175" customWidth="1"/>
    <col min="12044" max="12051" width="1.75" style="175" customWidth="1"/>
    <col min="12052" max="12052" width="5.625" style="175" customWidth="1"/>
    <col min="12053" max="12060" width="1.75" style="175" customWidth="1"/>
    <col min="12061" max="12061" width="5.625" style="175" customWidth="1"/>
    <col min="12062" max="12069" width="1.75" style="175" customWidth="1"/>
    <col min="12070" max="12070" width="5.625" style="175" customWidth="1"/>
    <col min="12071" max="12078" width="1.75" style="175" customWidth="1"/>
    <col min="12079" max="12294" width="5.625" style="175"/>
    <col min="12295" max="12299" width="5.625" style="175" customWidth="1"/>
    <col min="12300" max="12307" width="1.75" style="175" customWidth="1"/>
    <col min="12308" max="12308" width="5.625" style="175" customWidth="1"/>
    <col min="12309" max="12316" width="1.75" style="175" customWidth="1"/>
    <col min="12317" max="12317" width="5.625" style="175" customWidth="1"/>
    <col min="12318" max="12325" width="1.75" style="175" customWidth="1"/>
    <col min="12326" max="12326" width="5.625" style="175" customWidth="1"/>
    <col min="12327" max="12334" width="1.75" style="175" customWidth="1"/>
    <col min="12335" max="12550" width="5.625" style="175"/>
    <col min="12551" max="12555" width="5.625" style="175" customWidth="1"/>
    <col min="12556" max="12563" width="1.75" style="175" customWidth="1"/>
    <col min="12564" max="12564" width="5.625" style="175" customWidth="1"/>
    <col min="12565" max="12572" width="1.75" style="175" customWidth="1"/>
    <col min="12573" max="12573" width="5.625" style="175" customWidth="1"/>
    <col min="12574" max="12581" width="1.75" style="175" customWidth="1"/>
    <col min="12582" max="12582" width="5.625" style="175" customWidth="1"/>
    <col min="12583" max="12590" width="1.75" style="175" customWidth="1"/>
    <col min="12591" max="12806" width="5.625" style="175"/>
    <col min="12807" max="12811" width="5.625" style="175" customWidth="1"/>
    <col min="12812" max="12819" width="1.75" style="175" customWidth="1"/>
    <col min="12820" max="12820" width="5.625" style="175" customWidth="1"/>
    <col min="12821" max="12828" width="1.75" style="175" customWidth="1"/>
    <col min="12829" max="12829" width="5.625" style="175" customWidth="1"/>
    <col min="12830" max="12837" width="1.75" style="175" customWidth="1"/>
    <col min="12838" max="12838" width="5.625" style="175" customWidth="1"/>
    <col min="12839" max="12846" width="1.75" style="175" customWidth="1"/>
    <col min="12847" max="13062" width="5.625" style="175"/>
    <col min="13063" max="13067" width="5.625" style="175" customWidth="1"/>
    <col min="13068" max="13075" width="1.75" style="175" customWidth="1"/>
    <col min="13076" max="13076" width="5.625" style="175" customWidth="1"/>
    <col min="13077" max="13084" width="1.75" style="175" customWidth="1"/>
    <col min="13085" max="13085" width="5.625" style="175" customWidth="1"/>
    <col min="13086" max="13093" width="1.75" style="175" customWidth="1"/>
    <col min="13094" max="13094" width="5.625" style="175" customWidth="1"/>
    <col min="13095" max="13102" width="1.75" style="175" customWidth="1"/>
    <col min="13103" max="13318" width="5.625" style="175"/>
    <col min="13319" max="13323" width="5.625" style="175" customWidth="1"/>
    <col min="13324" max="13331" width="1.75" style="175" customWidth="1"/>
    <col min="13332" max="13332" width="5.625" style="175" customWidth="1"/>
    <col min="13333" max="13340" width="1.75" style="175" customWidth="1"/>
    <col min="13341" max="13341" width="5.625" style="175" customWidth="1"/>
    <col min="13342" max="13349" width="1.75" style="175" customWidth="1"/>
    <col min="13350" max="13350" width="5.625" style="175" customWidth="1"/>
    <col min="13351" max="13358" width="1.75" style="175" customWidth="1"/>
    <col min="13359" max="13574" width="5.625" style="175"/>
    <col min="13575" max="13579" width="5.625" style="175" customWidth="1"/>
    <col min="13580" max="13587" width="1.75" style="175" customWidth="1"/>
    <col min="13588" max="13588" width="5.625" style="175" customWidth="1"/>
    <col min="13589" max="13596" width="1.75" style="175" customWidth="1"/>
    <col min="13597" max="13597" width="5.625" style="175" customWidth="1"/>
    <col min="13598" max="13605" width="1.75" style="175" customWidth="1"/>
    <col min="13606" max="13606" width="5.625" style="175" customWidth="1"/>
    <col min="13607" max="13614" width="1.75" style="175" customWidth="1"/>
    <col min="13615" max="13830" width="5.625" style="175"/>
    <col min="13831" max="13835" width="5.625" style="175" customWidth="1"/>
    <col min="13836" max="13843" width="1.75" style="175" customWidth="1"/>
    <col min="13844" max="13844" width="5.625" style="175" customWidth="1"/>
    <col min="13845" max="13852" width="1.75" style="175" customWidth="1"/>
    <col min="13853" max="13853" width="5.625" style="175" customWidth="1"/>
    <col min="13854" max="13861" width="1.75" style="175" customWidth="1"/>
    <col min="13862" max="13862" width="5.625" style="175" customWidth="1"/>
    <col min="13863" max="13870" width="1.75" style="175" customWidth="1"/>
    <col min="13871" max="14086" width="5.625" style="175"/>
    <col min="14087" max="14091" width="5.625" style="175" customWidth="1"/>
    <col min="14092" max="14099" width="1.75" style="175" customWidth="1"/>
    <col min="14100" max="14100" width="5.625" style="175" customWidth="1"/>
    <col min="14101" max="14108" width="1.75" style="175" customWidth="1"/>
    <col min="14109" max="14109" width="5.625" style="175" customWidth="1"/>
    <col min="14110" max="14117" width="1.75" style="175" customWidth="1"/>
    <col min="14118" max="14118" width="5.625" style="175" customWidth="1"/>
    <col min="14119" max="14126" width="1.75" style="175" customWidth="1"/>
    <col min="14127" max="14342" width="5.625" style="175"/>
    <col min="14343" max="14347" width="5.625" style="175" customWidth="1"/>
    <col min="14348" max="14355" width="1.75" style="175" customWidth="1"/>
    <col min="14356" max="14356" width="5.625" style="175" customWidth="1"/>
    <col min="14357" max="14364" width="1.75" style="175" customWidth="1"/>
    <col min="14365" max="14365" width="5.625" style="175" customWidth="1"/>
    <col min="14366" max="14373" width="1.75" style="175" customWidth="1"/>
    <col min="14374" max="14374" width="5.625" style="175" customWidth="1"/>
    <col min="14375" max="14382" width="1.75" style="175" customWidth="1"/>
    <col min="14383" max="14598" width="5.625" style="175"/>
    <col min="14599" max="14603" width="5.625" style="175" customWidth="1"/>
    <col min="14604" max="14611" width="1.75" style="175" customWidth="1"/>
    <col min="14612" max="14612" width="5.625" style="175" customWidth="1"/>
    <col min="14613" max="14620" width="1.75" style="175" customWidth="1"/>
    <col min="14621" max="14621" width="5.625" style="175" customWidth="1"/>
    <col min="14622" max="14629" width="1.75" style="175" customWidth="1"/>
    <col min="14630" max="14630" width="5.625" style="175" customWidth="1"/>
    <col min="14631" max="14638" width="1.75" style="175" customWidth="1"/>
    <col min="14639" max="14854" width="5.625" style="175"/>
    <col min="14855" max="14859" width="5.625" style="175" customWidth="1"/>
    <col min="14860" max="14867" width="1.75" style="175" customWidth="1"/>
    <col min="14868" max="14868" width="5.625" style="175" customWidth="1"/>
    <col min="14869" max="14876" width="1.75" style="175" customWidth="1"/>
    <col min="14877" max="14877" width="5.625" style="175" customWidth="1"/>
    <col min="14878" max="14885" width="1.75" style="175" customWidth="1"/>
    <col min="14886" max="14886" width="5.625" style="175" customWidth="1"/>
    <col min="14887" max="14894" width="1.75" style="175" customWidth="1"/>
    <col min="14895" max="15110" width="5.625" style="175"/>
    <col min="15111" max="15115" width="5.625" style="175" customWidth="1"/>
    <col min="15116" max="15123" width="1.75" style="175" customWidth="1"/>
    <col min="15124" max="15124" width="5.625" style="175" customWidth="1"/>
    <col min="15125" max="15132" width="1.75" style="175" customWidth="1"/>
    <col min="15133" max="15133" width="5.625" style="175" customWidth="1"/>
    <col min="15134" max="15141" width="1.75" style="175" customWidth="1"/>
    <col min="15142" max="15142" width="5.625" style="175" customWidth="1"/>
    <col min="15143" max="15150" width="1.75" style="175" customWidth="1"/>
    <col min="15151" max="15366" width="5.625" style="175"/>
    <col min="15367" max="15371" width="5.625" style="175" customWidth="1"/>
    <col min="15372" max="15379" width="1.75" style="175" customWidth="1"/>
    <col min="15380" max="15380" width="5.625" style="175" customWidth="1"/>
    <col min="15381" max="15388" width="1.75" style="175" customWidth="1"/>
    <col min="15389" max="15389" width="5.625" style="175" customWidth="1"/>
    <col min="15390" max="15397" width="1.75" style="175" customWidth="1"/>
    <col min="15398" max="15398" width="5.625" style="175" customWidth="1"/>
    <col min="15399" max="15406" width="1.75" style="175" customWidth="1"/>
    <col min="15407" max="15622" width="5.625" style="175"/>
    <col min="15623" max="15627" width="5.625" style="175" customWidth="1"/>
    <col min="15628" max="15635" width="1.75" style="175" customWidth="1"/>
    <col min="15636" max="15636" width="5.625" style="175" customWidth="1"/>
    <col min="15637" max="15644" width="1.75" style="175" customWidth="1"/>
    <col min="15645" max="15645" width="5.625" style="175" customWidth="1"/>
    <col min="15646" max="15653" width="1.75" style="175" customWidth="1"/>
    <col min="15654" max="15654" width="5.625" style="175" customWidth="1"/>
    <col min="15655" max="15662" width="1.75" style="175" customWidth="1"/>
    <col min="15663" max="15878" width="5.625" style="175"/>
    <col min="15879" max="15883" width="5.625" style="175" customWidth="1"/>
    <col min="15884" max="15891" width="1.75" style="175" customWidth="1"/>
    <col min="15892" max="15892" width="5.625" style="175" customWidth="1"/>
    <col min="15893" max="15900" width="1.75" style="175" customWidth="1"/>
    <col min="15901" max="15901" width="5.625" style="175" customWidth="1"/>
    <col min="15902" max="15909" width="1.75" style="175" customWidth="1"/>
    <col min="15910" max="15910" width="5.625" style="175" customWidth="1"/>
    <col min="15911" max="15918" width="1.75" style="175" customWidth="1"/>
    <col min="15919" max="16134" width="5.625" style="175"/>
    <col min="16135" max="16139" width="5.625" style="175" customWidth="1"/>
    <col min="16140" max="16147" width="1.75" style="175" customWidth="1"/>
    <col min="16148" max="16148" width="5.625" style="175" customWidth="1"/>
    <col min="16149" max="16156" width="1.75" style="175" customWidth="1"/>
    <col min="16157" max="16157" width="5.625" style="175" customWidth="1"/>
    <col min="16158" max="16165" width="1.75" style="175" customWidth="1"/>
    <col min="16166" max="16166" width="5.625" style="175" customWidth="1"/>
    <col min="16167" max="16174" width="1.75" style="175" customWidth="1"/>
    <col min="16175" max="16384" width="5.625" style="175"/>
  </cols>
  <sheetData>
    <row r="1" spans="1:48" ht="12.95" customHeight="1">
      <c r="A1" s="298" t="s">
        <v>477</v>
      </c>
    </row>
    <row r="2" spans="1:48" ht="12.95" customHeight="1">
      <c r="B2" s="733" t="s">
        <v>426</v>
      </c>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c r="AT2" s="733"/>
      <c r="AU2" s="733"/>
      <c r="AV2" s="262"/>
    </row>
    <row r="3" spans="1:48" ht="12.95" customHeight="1">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262"/>
    </row>
    <row r="5" spans="1:48" ht="12.95" customHeight="1">
      <c r="G5" s="183" t="s">
        <v>364</v>
      </c>
      <c r="P5" s="183" t="s">
        <v>365</v>
      </c>
      <c r="AJ5" s="276"/>
      <c r="AK5" s="276"/>
      <c r="AL5" s="276"/>
      <c r="AM5" s="276"/>
      <c r="AN5" s="276"/>
      <c r="AO5" s="276"/>
      <c r="AP5" s="276"/>
      <c r="AQ5" s="276"/>
      <c r="AR5" s="276"/>
      <c r="AS5" s="276"/>
      <c r="AT5" s="277" t="s">
        <v>366</v>
      </c>
    </row>
    <row r="6" spans="1:48" ht="12.95" customHeight="1">
      <c r="AJ6" s="276"/>
      <c r="AK6" s="276"/>
      <c r="AL6" s="276"/>
      <c r="AM6" s="276"/>
      <c r="AN6" s="276"/>
      <c r="AO6" s="252"/>
      <c r="AP6" s="252"/>
      <c r="AQ6" s="252"/>
      <c r="AR6" s="252"/>
      <c r="AS6" s="252"/>
      <c r="AT6" s="277" t="s">
        <v>367</v>
      </c>
    </row>
    <row r="7" spans="1:48" ht="12.95" customHeight="1">
      <c r="J7" s="223"/>
      <c r="S7" s="223"/>
    </row>
    <row r="8" spans="1:48" ht="12.95" customHeight="1">
      <c r="F8" s="176"/>
      <c r="G8" s="177" t="s">
        <v>415</v>
      </c>
      <c r="H8" s="178"/>
      <c r="I8" s="219"/>
      <c r="J8" s="224"/>
      <c r="K8" s="179"/>
      <c r="M8" s="180"/>
      <c r="N8" s="180"/>
      <c r="O8" s="180"/>
      <c r="P8" s="180"/>
      <c r="Q8" s="181"/>
      <c r="R8" s="181"/>
      <c r="S8" s="228"/>
      <c r="T8" s="181"/>
      <c r="U8" s="180"/>
      <c r="V8" s="182" t="s">
        <v>368</v>
      </c>
      <c r="AG8" s="182"/>
      <c r="AN8" s="182"/>
      <c r="AO8" s="182"/>
      <c r="AP8" s="182"/>
      <c r="AQ8" s="182"/>
      <c r="AR8" s="182"/>
      <c r="AS8" s="182"/>
      <c r="AT8" s="182"/>
    </row>
    <row r="9" spans="1:48" ht="12.95" customHeight="1">
      <c r="I9" s="220"/>
      <c r="J9" s="225"/>
      <c r="L9" s="183"/>
      <c r="O9" s="176"/>
      <c r="P9" s="177" t="s">
        <v>416</v>
      </c>
      <c r="Q9" s="178"/>
      <c r="R9" s="219"/>
      <c r="S9" s="224"/>
      <c r="T9" s="179"/>
      <c r="U9" s="183"/>
    </row>
    <row r="10" spans="1:48" ht="12.95" customHeight="1">
      <c r="I10" s="220"/>
      <c r="J10" s="225"/>
      <c r="R10" s="220"/>
      <c r="S10" s="225"/>
      <c r="AD10" s="182"/>
    </row>
    <row r="11" spans="1:48" ht="12.95" customHeight="1">
      <c r="D11" s="176"/>
      <c r="E11" s="184" t="s">
        <v>369</v>
      </c>
      <c r="F11" s="185"/>
      <c r="G11" s="185"/>
      <c r="H11" s="185"/>
      <c r="I11" s="220"/>
      <c r="J11" s="225"/>
      <c r="M11" s="176"/>
      <c r="N11" s="184" t="s">
        <v>369</v>
      </c>
      <c r="O11" s="185"/>
      <c r="P11" s="185"/>
      <c r="Q11" s="185"/>
      <c r="R11" s="220"/>
      <c r="S11" s="225"/>
      <c r="AF11" s="186"/>
    </row>
    <row r="12" spans="1:48" ht="12.95" customHeight="1">
      <c r="E12" s="730" t="s">
        <v>370</v>
      </c>
      <c r="F12" s="730"/>
      <c r="G12" s="730"/>
      <c r="H12" s="734"/>
      <c r="I12" s="221"/>
      <c r="J12" s="226"/>
      <c r="K12" s="187"/>
      <c r="L12" s="187"/>
      <c r="M12" s="187"/>
      <c r="N12" s="730" t="s">
        <v>370</v>
      </c>
      <c r="O12" s="730"/>
      <c r="P12" s="730"/>
      <c r="Q12" s="734"/>
      <c r="R12" s="220"/>
      <c r="S12" s="225"/>
      <c r="AF12" s="188"/>
      <c r="AH12" s="188"/>
      <c r="AI12" s="188"/>
    </row>
    <row r="13" spans="1:48" ht="12.95" customHeight="1">
      <c r="E13" s="266">
        <v>4.75</v>
      </c>
      <c r="F13" s="265" t="s">
        <v>414</v>
      </c>
      <c r="G13" s="263"/>
      <c r="H13" s="263"/>
      <c r="I13" s="220"/>
      <c r="J13" s="225"/>
      <c r="N13" s="274">
        <f>E13-0.4</f>
        <v>4.3499999999999996</v>
      </c>
      <c r="O13" s="265" t="s">
        <v>414</v>
      </c>
      <c r="P13" s="263"/>
      <c r="Q13" s="263"/>
      <c r="R13" s="220"/>
      <c r="S13" s="225"/>
      <c r="W13" s="190"/>
      <c r="AF13" s="191"/>
      <c r="AH13" s="189"/>
      <c r="AI13" s="189"/>
    </row>
    <row r="14" spans="1:48" ht="12.95" customHeight="1">
      <c r="E14" s="267"/>
      <c r="F14" s="183"/>
      <c r="G14" s="183"/>
      <c r="H14" s="183"/>
      <c r="I14" s="220"/>
      <c r="J14" s="225"/>
      <c r="N14" s="267">
        <f>IF(E14=0,0,E14-0.4)</f>
        <v>0</v>
      </c>
      <c r="O14" s="183"/>
      <c r="P14" s="183"/>
      <c r="Q14" s="183"/>
      <c r="R14" s="220"/>
      <c r="S14" s="225"/>
    </row>
    <row r="15" spans="1:48" ht="12.95" customHeight="1">
      <c r="I15" s="220"/>
      <c r="J15" s="226"/>
      <c r="K15" s="187"/>
      <c r="L15" s="187"/>
      <c r="M15" s="187"/>
      <c r="R15" s="220"/>
      <c r="S15" s="225"/>
    </row>
    <row r="16" spans="1:48" ht="12.95" customHeight="1">
      <c r="E16" s="184" t="s">
        <v>371</v>
      </c>
      <c r="F16" s="185"/>
      <c r="G16" s="185"/>
      <c r="H16" s="185"/>
      <c r="I16" s="221"/>
      <c r="J16" s="226"/>
      <c r="K16" s="187"/>
      <c r="L16" s="187"/>
      <c r="M16" s="187"/>
      <c r="N16" s="184" t="s">
        <v>371</v>
      </c>
      <c r="O16" s="185"/>
      <c r="P16" s="185"/>
      <c r="Q16" s="185"/>
      <c r="R16" s="221"/>
      <c r="S16" s="226"/>
    </row>
    <row r="17" spans="2:38" ht="12.95" customHeight="1">
      <c r="E17" s="730" t="s">
        <v>372</v>
      </c>
      <c r="F17" s="731"/>
      <c r="G17" s="731"/>
      <c r="H17" s="732"/>
      <c r="I17" s="220"/>
      <c r="J17" s="225"/>
      <c r="N17" s="730" t="s">
        <v>373</v>
      </c>
      <c r="O17" s="731"/>
      <c r="P17" s="731"/>
      <c r="Q17" s="732"/>
      <c r="R17" s="220"/>
      <c r="S17" s="225"/>
    </row>
    <row r="18" spans="2:38" ht="12.95" customHeight="1">
      <c r="E18" s="268">
        <f>E13</f>
        <v>4.75</v>
      </c>
      <c r="F18" s="265" t="s">
        <v>414</v>
      </c>
      <c r="G18" s="183"/>
      <c r="H18" s="183"/>
      <c r="I18" s="220"/>
      <c r="J18" s="225"/>
      <c r="N18" s="275">
        <f>N13</f>
        <v>4.3499999999999996</v>
      </c>
      <c r="O18" s="265" t="s">
        <v>414</v>
      </c>
      <c r="P18" s="183"/>
      <c r="Q18" s="183"/>
      <c r="R18" s="220"/>
      <c r="S18" s="225"/>
    </row>
    <row r="19" spans="2:38" ht="12.95" customHeight="1">
      <c r="E19" s="267">
        <f>E14</f>
        <v>0</v>
      </c>
      <c r="F19" s="183"/>
      <c r="G19" s="183"/>
      <c r="H19" s="183"/>
      <c r="I19" s="220"/>
      <c r="J19" s="225"/>
      <c r="N19" s="267">
        <f>N14</f>
        <v>0</v>
      </c>
      <c r="O19" s="183"/>
      <c r="P19" s="183"/>
      <c r="Q19" s="183"/>
      <c r="R19" s="220"/>
      <c r="S19" s="225"/>
    </row>
    <row r="20" spans="2:38" ht="12.95" customHeight="1">
      <c r="I20" s="220"/>
      <c r="J20" s="227"/>
      <c r="R20" s="222"/>
      <c r="S20" s="227"/>
      <c r="AL20" s="183"/>
    </row>
    <row r="21" spans="2:38" ht="12.95" customHeight="1">
      <c r="F21" s="735" t="s">
        <v>374</v>
      </c>
      <c r="G21" s="736"/>
      <c r="H21" s="736"/>
      <c r="I21" s="736"/>
      <c r="J21" s="736"/>
      <c r="K21" s="736"/>
      <c r="L21" s="736"/>
      <c r="M21" s="737"/>
      <c r="N21" s="192"/>
      <c r="O21" s="735" t="s">
        <v>374</v>
      </c>
      <c r="P21" s="736"/>
      <c r="Q21" s="736"/>
      <c r="R21" s="736"/>
      <c r="S21" s="736"/>
      <c r="T21" s="736"/>
      <c r="U21" s="736"/>
      <c r="V21" s="737"/>
    </row>
    <row r="22" spans="2:38" ht="12.95" customHeight="1">
      <c r="F22" s="738" t="s">
        <v>375</v>
      </c>
      <c r="G22" s="739"/>
      <c r="H22" s="739"/>
      <c r="I22" s="739"/>
      <c r="J22" s="739"/>
      <c r="K22" s="739"/>
      <c r="L22" s="739"/>
      <c r="M22" s="739"/>
      <c r="N22" s="739"/>
      <c r="O22" s="739"/>
      <c r="P22" s="739"/>
      <c r="Q22" s="739"/>
      <c r="R22" s="739"/>
      <c r="S22" s="739"/>
      <c r="T22" s="739"/>
      <c r="U22" s="739"/>
      <c r="V22" s="740"/>
      <c r="X22" s="183" t="s">
        <v>369</v>
      </c>
    </row>
    <row r="23" spans="2:38" ht="12.95" customHeight="1">
      <c r="F23" s="741" t="s">
        <v>376</v>
      </c>
      <c r="G23" s="742"/>
      <c r="H23" s="742"/>
      <c r="I23" s="742"/>
      <c r="J23" s="742"/>
      <c r="K23" s="742"/>
      <c r="L23" s="742"/>
      <c r="M23" s="743"/>
      <c r="N23" s="193"/>
      <c r="O23" s="741" t="s">
        <v>376</v>
      </c>
      <c r="P23" s="742"/>
      <c r="Q23" s="742"/>
      <c r="R23" s="742"/>
      <c r="S23" s="742"/>
      <c r="T23" s="742"/>
      <c r="U23" s="742"/>
      <c r="V23" s="743"/>
      <c r="X23" s="183" t="s">
        <v>377</v>
      </c>
    </row>
    <row r="24" spans="2:38" ht="12.95" customHeight="1">
      <c r="I24" s="220"/>
      <c r="J24" s="231"/>
      <c r="R24" s="220"/>
      <c r="S24" s="231"/>
      <c r="X24" s="183" t="s">
        <v>378</v>
      </c>
    </row>
    <row r="25" spans="2:38" ht="12.95" customHeight="1">
      <c r="E25" s="184" t="s">
        <v>369</v>
      </c>
      <c r="F25" s="185"/>
      <c r="G25" s="185"/>
      <c r="H25" s="185"/>
      <c r="I25" s="220"/>
      <c r="J25" s="232"/>
      <c r="N25" s="184" t="s">
        <v>369</v>
      </c>
      <c r="O25" s="185"/>
      <c r="P25" s="185"/>
      <c r="Q25" s="185"/>
      <c r="R25" s="220"/>
      <c r="S25" s="232"/>
      <c r="W25" s="186"/>
      <c r="X25" s="175" t="s">
        <v>379</v>
      </c>
    </row>
    <row r="26" spans="2:38" ht="12.95" customHeight="1">
      <c r="E26" s="730" t="str">
        <f>E12</f>
        <v>VE22</v>
      </c>
      <c r="F26" s="730"/>
      <c r="G26" s="730"/>
      <c r="H26" s="734"/>
      <c r="I26" s="221"/>
      <c r="J26" s="233"/>
      <c r="K26" s="187"/>
      <c r="L26" s="187"/>
      <c r="M26" s="187"/>
      <c r="N26" s="730" t="str">
        <f>N12</f>
        <v>VE22</v>
      </c>
      <c r="O26" s="730"/>
      <c r="P26" s="730"/>
      <c r="Q26" s="734"/>
      <c r="R26" s="220"/>
      <c r="S26" s="232"/>
      <c r="W26" s="194"/>
      <c r="X26" s="183" t="s">
        <v>417</v>
      </c>
      <c r="Y26" s="194"/>
      <c r="Z26" s="194"/>
      <c r="AG26" s="194"/>
      <c r="AH26" s="194"/>
      <c r="AI26" s="194"/>
    </row>
    <row r="27" spans="2:38" ht="12.95" customHeight="1">
      <c r="E27" s="269">
        <v>1.85</v>
      </c>
      <c r="F27" s="265" t="s">
        <v>414</v>
      </c>
      <c r="G27" s="263"/>
      <c r="H27" s="263"/>
      <c r="I27" s="220"/>
      <c r="J27" s="232"/>
      <c r="N27" s="272">
        <f>E27</f>
        <v>1.85</v>
      </c>
      <c r="O27" s="265" t="s">
        <v>414</v>
      </c>
      <c r="P27" s="263"/>
      <c r="Q27" s="263"/>
      <c r="R27" s="220"/>
      <c r="S27" s="232"/>
      <c r="W27" s="195"/>
      <c r="X27" s="183" t="s">
        <v>380</v>
      </c>
      <c r="AG27" s="187"/>
      <c r="AH27" s="187"/>
      <c r="AI27" s="187"/>
    </row>
    <row r="28" spans="2:38" ht="12.95" customHeight="1">
      <c r="E28" s="270"/>
      <c r="I28" s="220"/>
      <c r="J28" s="232"/>
      <c r="N28" s="270">
        <f>IF(E28=0,0,E28)</f>
        <v>0</v>
      </c>
      <c r="O28" s="183"/>
      <c r="P28" s="183"/>
      <c r="Q28" s="183"/>
      <c r="R28" s="220"/>
      <c r="S28" s="232"/>
      <c r="W28" s="196"/>
      <c r="X28" s="183" t="s">
        <v>381</v>
      </c>
      <c r="AG28" s="187"/>
      <c r="AH28" s="187"/>
      <c r="AI28" s="187"/>
    </row>
    <row r="29" spans="2:38" ht="12.95" customHeight="1">
      <c r="I29" s="220"/>
      <c r="J29" s="232"/>
      <c r="R29" s="220"/>
      <c r="S29" s="232"/>
      <c r="X29" s="183" t="s">
        <v>382</v>
      </c>
      <c r="AG29" s="187"/>
      <c r="AH29" s="187"/>
      <c r="AI29" s="187"/>
    </row>
    <row r="30" spans="2:38" ht="12.95" customHeight="1">
      <c r="E30" s="184" t="s">
        <v>371</v>
      </c>
      <c r="F30" s="185"/>
      <c r="G30" s="185"/>
      <c r="H30" s="185"/>
      <c r="I30" s="229"/>
      <c r="J30" s="233"/>
      <c r="K30" s="187"/>
      <c r="L30" s="187"/>
      <c r="M30" s="187"/>
      <c r="N30" s="184" t="s">
        <v>371</v>
      </c>
      <c r="O30" s="185"/>
      <c r="P30" s="185"/>
      <c r="Q30" s="185"/>
      <c r="R30" s="230"/>
      <c r="S30" s="232"/>
      <c r="W30" s="186"/>
      <c r="X30" s="183" t="s">
        <v>383</v>
      </c>
      <c r="AG30" s="194"/>
      <c r="AH30" s="194"/>
      <c r="AI30" s="194"/>
    </row>
    <row r="31" spans="2:38" ht="12.95" customHeight="1">
      <c r="E31" s="730" t="str">
        <f>E17</f>
        <v>SV5.5-3C</v>
      </c>
      <c r="F31" s="731"/>
      <c r="G31" s="731"/>
      <c r="H31" s="732"/>
      <c r="I31" s="220"/>
      <c r="J31" s="232"/>
      <c r="N31" s="730" t="str">
        <f>N17</f>
        <v>SV5.5-2C</v>
      </c>
      <c r="O31" s="731"/>
      <c r="P31" s="731"/>
      <c r="Q31" s="732"/>
      <c r="R31" s="220"/>
      <c r="S31" s="232"/>
      <c r="W31" s="194"/>
      <c r="X31" s="183" t="s">
        <v>384</v>
      </c>
      <c r="Y31" s="194"/>
      <c r="Z31" s="194"/>
      <c r="AG31" s="187"/>
      <c r="AH31" s="187"/>
      <c r="AI31" s="187"/>
    </row>
    <row r="32" spans="2:38" ht="12.95" customHeight="1">
      <c r="B32" s="197"/>
      <c r="C32" s="197"/>
      <c r="D32" s="197"/>
      <c r="E32" s="271">
        <f>E27</f>
        <v>1.85</v>
      </c>
      <c r="F32" s="265" t="s">
        <v>414</v>
      </c>
      <c r="G32" s="183"/>
      <c r="H32" s="183"/>
      <c r="I32" s="220"/>
      <c r="J32" s="232"/>
      <c r="N32" s="273">
        <f>N27</f>
        <v>1.85</v>
      </c>
      <c r="O32" s="265" t="s">
        <v>414</v>
      </c>
      <c r="P32" s="183"/>
      <c r="Q32" s="183"/>
      <c r="R32" s="220"/>
      <c r="S32" s="232"/>
      <c r="W32" s="198"/>
      <c r="X32" s="183" t="s">
        <v>385</v>
      </c>
      <c r="AG32" s="187"/>
      <c r="AH32" s="187"/>
      <c r="AI32" s="187"/>
    </row>
    <row r="33" spans="2:47" ht="12.95" customHeight="1">
      <c r="B33" s="197"/>
      <c r="C33" s="197"/>
      <c r="D33" s="197"/>
      <c r="E33" s="270">
        <f>E28</f>
        <v>0</v>
      </c>
      <c r="F33" s="183"/>
      <c r="G33" s="183"/>
      <c r="H33" s="183"/>
      <c r="I33" s="220"/>
      <c r="J33" s="232"/>
      <c r="N33" s="270">
        <f>N28</f>
        <v>0</v>
      </c>
      <c r="O33" s="183"/>
      <c r="P33" s="183"/>
      <c r="Q33" s="183"/>
      <c r="R33" s="220"/>
      <c r="S33" s="232"/>
      <c r="W33" s="196"/>
      <c r="AG33" s="187"/>
      <c r="AH33" s="187"/>
      <c r="AI33" s="187"/>
    </row>
    <row r="34" spans="2:47" ht="12.95" customHeight="1">
      <c r="E34" s="199"/>
      <c r="I34" s="220"/>
      <c r="J34" s="232"/>
      <c r="R34" s="220"/>
      <c r="S34" s="232"/>
    </row>
    <row r="35" spans="2:47" ht="22.5" customHeight="1">
      <c r="E35" s="746" t="s">
        <v>425</v>
      </c>
      <c r="F35" s="747"/>
      <c r="G35" s="747"/>
      <c r="H35" s="747"/>
      <c r="I35" s="747"/>
      <c r="J35" s="747"/>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7"/>
      <c r="AJ35" s="747"/>
      <c r="AK35" s="747"/>
      <c r="AL35" s="747"/>
      <c r="AM35" s="747"/>
      <c r="AN35" s="747"/>
      <c r="AO35" s="747"/>
      <c r="AP35" s="747"/>
      <c r="AQ35" s="747"/>
      <c r="AR35" s="747"/>
      <c r="AS35" s="747"/>
      <c r="AT35" s="748"/>
    </row>
    <row r="36" spans="2:47" ht="12.95" customHeight="1">
      <c r="B36" s="749" t="s">
        <v>430</v>
      </c>
      <c r="C36" s="749"/>
      <c r="D36" s="750"/>
      <c r="E36" s="239"/>
      <c r="F36" s="240"/>
      <c r="G36" s="240"/>
      <c r="H36" s="251"/>
      <c r="I36" s="251" t="s">
        <v>343</v>
      </c>
      <c r="J36" s="240"/>
      <c r="K36" s="251"/>
      <c r="L36" s="240"/>
      <c r="M36" s="240"/>
      <c r="N36" s="240"/>
      <c r="O36" s="240"/>
      <c r="P36" s="240"/>
      <c r="Q36" s="251"/>
      <c r="R36" s="251" t="s">
        <v>343</v>
      </c>
      <c r="S36" s="240"/>
      <c r="T36" s="251"/>
      <c r="U36" s="240"/>
      <c r="V36" s="240"/>
      <c r="W36" s="240"/>
      <c r="X36" s="240"/>
      <c r="Y36" s="240"/>
      <c r="Z36" s="251"/>
      <c r="AA36" s="251" t="s">
        <v>343</v>
      </c>
      <c r="AB36" s="240"/>
      <c r="AC36" s="251"/>
      <c r="AD36" s="240"/>
      <c r="AE36" s="240"/>
      <c r="AF36" s="240"/>
      <c r="AG36" s="240"/>
      <c r="AH36" s="240"/>
      <c r="AI36" s="240"/>
      <c r="AJ36" s="240"/>
      <c r="AK36" s="240"/>
      <c r="AL36" s="240"/>
      <c r="AM36" s="240"/>
      <c r="AN36" s="240"/>
      <c r="AO36" s="240"/>
      <c r="AP36" s="240"/>
      <c r="AQ36" s="240"/>
      <c r="AR36" s="240"/>
      <c r="AS36" s="240"/>
      <c r="AT36" s="241"/>
    </row>
    <row r="37" spans="2:47" ht="6" customHeight="1" thickBot="1">
      <c r="B37" s="751"/>
      <c r="C37" s="751"/>
      <c r="D37" s="752"/>
      <c r="E37" s="242"/>
      <c r="F37" s="193"/>
      <c r="G37" s="193"/>
      <c r="H37" s="244"/>
      <c r="I37" s="245"/>
      <c r="J37" s="245"/>
      <c r="K37" s="246"/>
      <c r="L37" s="193"/>
      <c r="M37" s="193"/>
      <c r="N37" s="193"/>
      <c r="O37" s="193"/>
      <c r="P37" s="193"/>
      <c r="Q37" s="244"/>
      <c r="R37" s="245"/>
      <c r="S37" s="245"/>
      <c r="T37" s="246"/>
      <c r="U37" s="193"/>
      <c r="V37" s="193"/>
      <c r="W37" s="193"/>
      <c r="X37" s="193"/>
      <c r="Y37" s="193"/>
      <c r="Z37" s="244"/>
      <c r="AA37" s="245"/>
      <c r="AB37" s="245"/>
      <c r="AC37" s="246"/>
      <c r="AD37" s="193"/>
      <c r="AE37" s="193"/>
      <c r="AF37" s="193"/>
      <c r="AG37" s="193"/>
      <c r="AH37" s="193"/>
      <c r="AI37" s="193"/>
      <c r="AJ37" s="193"/>
      <c r="AK37" s="193"/>
      <c r="AL37" s="193"/>
      <c r="AM37" s="193"/>
      <c r="AN37" s="193"/>
      <c r="AO37" s="193"/>
      <c r="AP37" s="193"/>
      <c r="AQ37" s="193"/>
      <c r="AR37" s="193"/>
      <c r="AS37" s="193"/>
      <c r="AT37" s="243"/>
    </row>
    <row r="38" spans="2:47" ht="12.95" customHeight="1">
      <c r="B38" s="276"/>
      <c r="D38" s="276"/>
      <c r="I38" s="220"/>
      <c r="J38" s="231"/>
      <c r="K38" s="199"/>
      <c r="R38" s="220"/>
      <c r="S38" s="231"/>
      <c r="AA38" s="220"/>
      <c r="AB38" s="231"/>
      <c r="AJ38" s="220"/>
      <c r="AK38" s="231"/>
      <c r="AM38" s="199"/>
      <c r="AN38" s="199"/>
      <c r="AO38" s="199"/>
      <c r="AP38" s="199"/>
      <c r="AQ38" s="199"/>
      <c r="AR38" s="199"/>
      <c r="AS38" s="199"/>
      <c r="AT38" s="199"/>
    </row>
    <row r="39" spans="2:47" ht="12.95" customHeight="1">
      <c r="I39" s="220"/>
      <c r="J39" s="232"/>
      <c r="R39" s="220"/>
      <c r="S39" s="232"/>
      <c r="AA39" s="220"/>
      <c r="AB39" s="232"/>
      <c r="AJ39" s="220"/>
      <c r="AK39" s="232"/>
    </row>
    <row r="40" spans="2:47" ht="12.95" customHeight="1">
      <c r="E40" s="184" t="s">
        <v>369</v>
      </c>
      <c r="F40" s="185"/>
      <c r="G40" s="185"/>
      <c r="H40" s="185"/>
      <c r="I40" s="220"/>
      <c r="J40" s="232"/>
      <c r="N40" s="184" t="s">
        <v>369</v>
      </c>
      <c r="O40" s="185"/>
      <c r="P40" s="185"/>
      <c r="Q40" s="185"/>
      <c r="R40" s="220"/>
      <c r="S40" s="232"/>
      <c r="W40" s="184" t="s">
        <v>369</v>
      </c>
      <c r="X40" s="185"/>
      <c r="Y40" s="185"/>
      <c r="Z40" s="185"/>
      <c r="AA40" s="220"/>
      <c r="AB40" s="232"/>
      <c r="AF40" s="184" t="s">
        <v>369</v>
      </c>
      <c r="AG40" s="185"/>
      <c r="AH40" s="185"/>
      <c r="AI40" s="185"/>
      <c r="AJ40" s="220"/>
      <c r="AK40" s="232"/>
      <c r="AN40" s="186"/>
    </row>
    <row r="41" spans="2:47" ht="12.95" customHeight="1">
      <c r="B41" s="749" t="s">
        <v>428</v>
      </c>
      <c r="C41" s="749"/>
      <c r="D41" s="749"/>
      <c r="E41" s="730" t="s">
        <v>386</v>
      </c>
      <c r="F41" s="730"/>
      <c r="G41" s="730"/>
      <c r="H41" s="734"/>
      <c r="I41" s="221"/>
      <c r="J41" s="233"/>
      <c r="K41" s="187"/>
      <c r="L41" s="187"/>
      <c r="M41" s="187"/>
      <c r="N41" s="730" t="str">
        <f>E41</f>
        <v>FEP50</v>
      </c>
      <c r="O41" s="730"/>
      <c r="P41" s="730"/>
      <c r="Q41" s="734"/>
      <c r="R41" s="221"/>
      <c r="S41" s="233"/>
      <c r="T41" s="187"/>
      <c r="U41" s="187"/>
      <c r="V41" s="187"/>
      <c r="W41" s="730" t="s">
        <v>387</v>
      </c>
      <c r="X41" s="730"/>
      <c r="Y41" s="730"/>
      <c r="Z41" s="734"/>
      <c r="AA41" s="220"/>
      <c r="AB41" s="232"/>
      <c r="AF41" s="730" t="s">
        <v>388</v>
      </c>
      <c r="AG41" s="730"/>
      <c r="AH41" s="730"/>
      <c r="AI41" s="734"/>
      <c r="AJ41" s="221"/>
      <c r="AK41" s="233"/>
      <c r="AL41" s="187"/>
      <c r="AM41" s="187"/>
      <c r="AN41" s="731"/>
      <c r="AO41" s="731"/>
      <c r="AP41" s="731"/>
      <c r="AQ41" s="731"/>
      <c r="AR41" s="187"/>
      <c r="AS41" s="187"/>
      <c r="AT41" s="187"/>
    </row>
    <row r="42" spans="2:47" ht="12.95" customHeight="1">
      <c r="B42" s="749"/>
      <c r="C42" s="749"/>
      <c r="D42" s="749"/>
      <c r="E42" s="268">
        <v>1</v>
      </c>
      <c r="F42" s="265" t="s">
        <v>414</v>
      </c>
      <c r="G42" s="263"/>
      <c r="H42" s="263"/>
      <c r="I42" s="220"/>
      <c r="J42" s="232"/>
      <c r="N42" s="275">
        <f>E42</f>
        <v>1</v>
      </c>
      <c r="O42" s="265" t="s">
        <v>414</v>
      </c>
      <c r="P42" s="183"/>
      <c r="Q42" s="183"/>
      <c r="R42" s="220"/>
      <c r="S42" s="232"/>
      <c r="W42" s="275">
        <f>E42</f>
        <v>1</v>
      </c>
      <c r="X42" s="265" t="s">
        <v>414</v>
      </c>
      <c r="Y42" s="183"/>
      <c r="Z42" s="183"/>
      <c r="AA42" s="220"/>
      <c r="AB42" s="232"/>
      <c r="AF42" s="275">
        <f>E42</f>
        <v>1</v>
      </c>
      <c r="AG42" s="265" t="s">
        <v>414</v>
      </c>
      <c r="AH42" s="264"/>
      <c r="AI42" s="264"/>
      <c r="AJ42" s="221"/>
      <c r="AK42" s="233"/>
      <c r="AL42" s="187"/>
      <c r="AM42" s="187"/>
      <c r="AN42" s="323"/>
      <c r="AO42" s="183"/>
      <c r="AP42" s="264"/>
      <c r="AQ42" s="264"/>
      <c r="AR42" s="187"/>
      <c r="AS42" s="187"/>
      <c r="AT42" s="187"/>
    </row>
    <row r="43" spans="2:47" ht="12.95" customHeight="1">
      <c r="E43" s="267"/>
      <c r="I43" s="220"/>
      <c r="J43" s="232"/>
      <c r="N43" s="267">
        <f>E43</f>
        <v>0</v>
      </c>
      <c r="O43" s="183"/>
      <c r="P43" s="183"/>
      <c r="Q43" s="183"/>
      <c r="R43" s="220"/>
      <c r="S43" s="232"/>
      <c r="W43" s="267">
        <f>E43</f>
        <v>0</v>
      </c>
      <c r="X43" s="183"/>
      <c r="Y43" s="183"/>
      <c r="Z43" s="183"/>
      <c r="AA43" s="220"/>
      <c r="AB43" s="232"/>
      <c r="AF43" s="267"/>
      <c r="AG43" s="183"/>
      <c r="AH43" s="183"/>
      <c r="AI43" s="183"/>
      <c r="AJ43" s="220"/>
      <c r="AK43" s="232"/>
      <c r="AN43" s="323"/>
      <c r="AO43" s="183"/>
      <c r="AP43" s="183"/>
      <c r="AQ43" s="183"/>
    </row>
    <row r="44" spans="2:47" ht="12.95" customHeight="1" thickBot="1">
      <c r="B44" s="200"/>
      <c r="C44" s="200"/>
      <c r="D44" s="200"/>
      <c r="E44" s="200"/>
      <c r="F44" s="200"/>
      <c r="G44" s="200"/>
      <c r="H44" s="200"/>
      <c r="I44" s="234"/>
      <c r="J44" s="235"/>
      <c r="K44" s="200"/>
      <c r="L44" s="200"/>
      <c r="M44" s="200"/>
      <c r="N44" s="200"/>
      <c r="O44" s="200"/>
      <c r="P44" s="200"/>
      <c r="Q44" s="200"/>
      <c r="R44" s="234"/>
      <c r="S44" s="235"/>
      <c r="T44" s="200"/>
      <c r="U44" s="200"/>
      <c r="V44" s="200"/>
      <c r="W44" s="200"/>
      <c r="X44" s="200"/>
      <c r="Y44" s="200"/>
      <c r="Z44" s="200"/>
      <c r="AA44" s="234"/>
      <c r="AB44" s="235"/>
      <c r="AC44" s="200"/>
      <c r="AD44" s="200"/>
      <c r="AE44" s="200"/>
      <c r="AF44" s="201"/>
      <c r="AG44" s="201"/>
      <c r="AH44" s="201"/>
      <c r="AI44" s="201"/>
      <c r="AJ44" s="254"/>
      <c r="AK44" s="256"/>
      <c r="AL44" s="201"/>
      <c r="AM44" s="201"/>
      <c r="AN44" s="201"/>
      <c r="AO44" s="201"/>
      <c r="AP44" s="201"/>
      <c r="AQ44" s="201"/>
      <c r="AR44" s="201"/>
      <c r="AS44" s="201"/>
      <c r="AT44" s="201"/>
      <c r="AU44" s="201"/>
    </row>
    <row r="45" spans="2:47" ht="12.95" customHeight="1">
      <c r="B45" s="749"/>
      <c r="C45" s="749"/>
      <c r="D45" s="749"/>
      <c r="I45" s="220"/>
      <c r="J45" s="232"/>
      <c r="R45" s="220"/>
      <c r="S45" s="232"/>
      <c r="AA45" s="220"/>
      <c r="AB45" s="232"/>
      <c r="AF45" s="196"/>
      <c r="AJ45" s="220"/>
      <c r="AK45" s="232"/>
    </row>
    <row r="46" spans="2:47" ht="12.95" customHeight="1">
      <c r="E46" s="184" t="s">
        <v>369</v>
      </c>
      <c r="F46" s="185"/>
      <c r="G46" s="185"/>
      <c r="H46" s="185"/>
      <c r="I46" s="220"/>
      <c r="J46" s="232"/>
      <c r="N46" s="184" t="s">
        <v>369</v>
      </c>
      <c r="O46" s="185"/>
      <c r="P46" s="185"/>
      <c r="Q46" s="185"/>
      <c r="R46" s="220"/>
      <c r="S46" s="232"/>
      <c r="W46" s="184" t="s">
        <v>369</v>
      </c>
      <c r="X46" s="185"/>
      <c r="Y46" s="185"/>
      <c r="Z46" s="185"/>
      <c r="AA46" s="220"/>
      <c r="AB46" s="232"/>
      <c r="AF46" s="184" t="s">
        <v>369</v>
      </c>
      <c r="AG46" s="185"/>
      <c r="AH46" s="185"/>
      <c r="AI46" s="185"/>
      <c r="AJ46" s="220"/>
      <c r="AK46" s="232"/>
      <c r="AN46" s="186"/>
    </row>
    <row r="47" spans="2:47" ht="12.95" customHeight="1">
      <c r="B47" s="749" t="s">
        <v>429</v>
      </c>
      <c r="C47" s="749"/>
      <c r="D47" s="749"/>
      <c r="E47" s="730" t="str">
        <f>E41</f>
        <v>FEP50</v>
      </c>
      <c r="F47" s="730"/>
      <c r="G47" s="730"/>
      <c r="H47" s="734"/>
      <c r="I47" s="220"/>
      <c r="J47" s="232"/>
      <c r="N47" s="264" t="str">
        <f>N41</f>
        <v>FEP50</v>
      </c>
      <c r="O47" s="187"/>
      <c r="P47" s="187"/>
      <c r="Q47" s="187"/>
      <c r="R47" s="220"/>
      <c r="S47" s="232"/>
      <c r="W47" s="730" t="str">
        <f>W41</f>
        <v>FEP50</v>
      </c>
      <c r="X47" s="730"/>
      <c r="Y47" s="730"/>
      <c r="Z47" s="734"/>
      <c r="AA47" s="220"/>
      <c r="AB47" s="232"/>
      <c r="AF47" s="730" t="str">
        <f>AF41</f>
        <v>VE36</v>
      </c>
      <c r="AG47" s="730"/>
      <c r="AH47" s="730"/>
      <c r="AI47" s="734"/>
      <c r="AJ47" s="221"/>
      <c r="AK47" s="233"/>
      <c r="AL47" s="187"/>
      <c r="AM47" s="187"/>
      <c r="AN47" s="731"/>
      <c r="AO47" s="731"/>
      <c r="AP47" s="731"/>
      <c r="AQ47" s="731"/>
      <c r="AR47" s="187"/>
      <c r="AS47" s="187"/>
      <c r="AT47" s="187"/>
    </row>
    <row r="48" spans="2:47" ht="12.95" customHeight="1">
      <c r="B48" s="749"/>
      <c r="C48" s="749"/>
      <c r="D48" s="749"/>
      <c r="E48" s="268">
        <v>6.5</v>
      </c>
      <c r="F48" s="265" t="s">
        <v>414</v>
      </c>
      <c r="G48" s="263"/>
      <c r="H48" s="263"/>
      <c r="I48" s="220"/>
      <c r="J48" s="232"/>
      <c r="N48" s="275">
        <f>E48</f>
        <v>6.5</v>
      </c>
      <c r="O48" s="265" t="s">
        <v>414</v>
      </c>
      <c r="P48" s="187"/>
      <c r="Q48" s="187"/>
      <c r="R48" s="220"/>
      <c r="S48" s="232"/>
      <c r="W48" s="275">
        <f>E48</f>
        <v>6.5</v>
      </c>
      <c r="X48" s="265" t="s">
        <v>414</v>
      </c>
      <c r="Y48" s="183"/>
      <c r="Z48" s="183"/>
      <c r="AA48" s="220"/>
      <c r="AB48" s="232"/>
      <c r="AF48" s="268">
        <v>0.5</v>
      </c>
      <c r="AG48" s="265" t="s">
        <v>414</v>
      </c>
      <c r="AH48" s="264"/>
      <c r="AI48" s="264"/>
      <c r="AJ48" s="221"/>
      <c r="AK48" s="233"/>
      <c r="AL48" s="187"/>
      <c r="AM48" s="187"/>
      <c r="AN48" s="323"/>
      <c r="AO48" s="183"/>
      <c r="AP48" s="264"/>
      <c r="AQ48" s="264"/>
      <c r="AR48" s="187"/>
      <c r="AS48" s="187"/>
      <c r="AT48" s="187"/>
    </row>
    <row r="49" spans="2:46" ht="12.95" customHeight="1">
      <c r="D49" s="202"/>
      <c r="E49" s="267">
        <f>E56-E43</f>
        <v>0</v>
      </c>
      <c r="F49" s="263"/>
      <c r="G49" s="263"/>
      <c r="H49" s="263"/>
      <c r="I49" s="220"/>
      <c r="J49" s="232"/>
      <c r="N49" s="267">
        <f>E49</f>
        <v>0</v>
      </c>
      <c r="O49" s="187"/>
      <c r="P49" s="187"/>
      <c r="Q49" s="187"/>
      <c r="R49" s="220"/>
      <c r="S49" s="232"/>
      <c r="W49" s="267">
        <f>E49</f>
        <v>0</v>
      </c>
      <c r="X49" s="183"/>
      <c r="Y49" s="183"/>
      <c r="Z49" s="183"/>
      <c r="AA49" s="220"/>
      <c r="AB49" s="232"/>
      <c r="AF49" s="267"/>
      <c r="AG49" s="183"/>
      <c r="AH49" s="183"/>
      <c r="AI49" s="183"/>
      <c r="AJ49" s="220"/>
      <c r="AK49" s="232"/>
      <c r="AN49" s="323"/>
      <c r="AO49" s="183"/>
      <c r="AP49" s="183"/>
      <c r="AQ49" s="183"/>
    </row>
    <row r="50" spans="2:46" ht="12.95" customHeight="1">
      <c r="D50" s="202"/>
      <c r="E50" s="196"/>
      <c r="F50" s="189"/>
      <c r="G50" s="189"/>
      <c r="H50" s="189"/>
      <c r="I50" s="220"/>
      <c r="J50" s="232"/>
      <c r="N50" s="196"/>
      <c r="O50" s="187"/>
      <c r="P50" s="187"/>
      <c r="Q50" s="187"/>
      <c r="R50" s="220"/>
      <c r="S50" s="232"/>
      <c r="W50" s="196"/>
      <c r="AA50" s="220"/>
      <c r="AB50" s="232"/>
      <c r="AJ50" s="220"/>
      <c r="AK50" s="232"/>
    </row>
    <row r="51" spans="2:46" ht="12.95" customHeight="1">
      <c r="E51" s="184" t="s">
        <v>371</v>
      </c>
      <c r="F51" s="185"/>
      <c r="G51" s="185"/>
      <c r="H51" s="185"/>
      <c r="I51" s="230"/>
      <c r="J51" s="232"/>
      <c r="N51" s="184" t="s">
        <v>371</v>
      </c>
      <c r="O51" s="185"/>
      <c r="P51" s="185"/>
      <c r="Q51" s="185"/>
      <c r="R51" s="230"/>
      <c r="S51" s="232"/>
      <c r="W51" s="184" t="s">
        <v>371</v>
      </c>
      <c r="X51" s="185"/>
      <c r="Y51" s="185"/>
      <c r="Z51" s="185"/>
      <c r="AA51" s="230"/>
      <c r="AB51" s="232"/>
      <c r="AF51" s="203" t="s">
        <v>371</v>
      </c>
      <c r="AG51" s="204"/>
      <c r="AH51" s="204"/>
      <c r="AI51" s="204"/>
      <c r="AJ51" s="229"/>
      <c r="AK51" s="233"/>
      <c r="AL51" s="187"/>
      <c r="AM51" s="187"/>
      <c r="AN51" s="194"/>
      <c r="AO51" s="187"/>
      <c r="AP51" s="187"/>
      <c r="AQ51" s="187"/>
      <c r="AR51" s="187"/>
      <c r="AS51" s="187"/>
      <c r="AT51" s="187"/>
    </row>
    <row r="52" spans="2:46" ht="12.95" customHeight="1">
      <c r="D52" s="176" t="s">
        <v>389</v>
      </c>
      <c r="E52" s="730" t="s">
        <v>390</v>
      </c>
      <c r="F52" s="730"/>
      <c r="G52" s="730"/>
      <c r="H52" s="734"/>
      <c r="I52" s="220"/>
      <c r="J52" s="233"/>
      <c r="K52" s="187"/>
      <c r="L52" s="187"/>
      <c r="M52" s="187"/>
      <c r="N52" s="765" t="str">
        <f t="shared" ref="N52:N60" si="0">E52</f>
        <v>VCT1.25-4C</v>
      </c>
      <c r="O52" s="765"/>
      <c r="P52" s="765"/>
      <c r="Q52" s="766"/>
      <c r="R52" s="220"/>
      <c r="S52" s="233"/>
      <c r="T52" s="187"/>
      <c r="U52" s="187"/>
      <c r="V52" s="187"/>
      <c r="W52" s="744"/>
      <c r="X52" s="744"/>
      <c r="Y52" s="744"/>
      <c r="Z52" s="745"/>
      <c r="AA52" s="220"/>
      <c r="AB52" s="232"/>
      <c r="AF52" s="730" t="s">
        <v>391</v>
      </c>
      <c r="AG52" s="730"/>
      <c r="AH52" s="730"/>
      <c r="AI52" s="734"/>
      <c r="AJ52" s="221"/>
      <c r="AK52" s="233"/>
      <c r="AL52" s="187"/>
      <c r="AM52" s="187"/>
      <c r="AN52" s="731"/>
      <c r="AO52" s="731"/>
      <c r="AP52" s="731"/>
      <c r="AQ52" s="731"/>
      <c r="AR52" s="187"/>
      <c r="AS52" s="187"/>
      <c r="AT52" s="187"/>
    </row>
    <row r="53" spans="2:46" ht="12.95" customHeight="1">
      <c r="D53" s="176" t="s">
        <v>392</v>
      </c>
      <c r="E53" s="264" t="s">
        <v>393</v>
      </c>
      <c r="F53" s="264"/>
      <c r="G53" s="264"/>
      <c r="H53" s="264"/>
      <c r="I53" s="220"/>
      <c r="J53" s="232"/>
      <c r="M53" s="176"/>
      <c r="N53" s="183" t="str">
        <f t="shared" si="0"/>
        <v>CVV1.25-2C</v>
      </c>
      <c r="O53" s="263"/>
      <c r="P53" s="263"/>
      <c r="Q53" s="263"/>
      <c r="R53" s="220"/>
      <c r="S53" s="233"/>
      <c r="T53" s="187"/>
      <c r="U53" s="187"/>
      <c r="V53" s="205"/>
      <c r="W53" s="264" t="s">
        <v>394</v>
      </c>
      <c r="X53" s="263"/>
      <c r="Y53" s="263"/>
      <c r="Z53" s="263"/>
      <c r="AA53" s="220"/>
      <c r="AB53" s="232"/>
      <c r="AF53" s="268">
        <f>AF42+AF48</f>
        <v>1.5</v>
      </c>
      <c r="AG53" s="265" t="s">
        <v>414</v>
      </c>
      <c r="AH53" s="264"/>
      <c r="AI53" s="264"/>
      <c r="AJ53" s="255"/>
      <c r="AK53" s="257"/>
      <c r="AL53" s="187"/>
      <c r="AM53" s="187"/>
      <c r="AN53" s="323"/>
      <c r="AO53" s="183"/>
      <c r="AP53" s="264"/>
      <c r="AQ53" s="264"/>
      <c r="AR53" s="187"/>
      <c r="AS53" s="187"/>
      <c r="AT53" s="187"/>
    </row>
    <row r="54" spans="2:46" ht="12.95" customHeight="1">
      <c r="D54" s="176" t="s">
        <v>395</v>
      </c>
      <c r="E54" s="264" t="s">
        <v>396</v>
      </c>
      <c r="F54" s="264"/>
      <c r="G54" s="264"/>
      <c r="H54" s="264"/>
      <c r="I54" s="220"/>
      <c r="J54" s="232"/>
      <c r="M54" s="176"/>
      <c r="N54" s="183" t="str">
        <f t="shared" si="0"/>
        <v>CVV2.0-1C</v>
      </c>
      <c r="O54" s="263"/>
      <c r="P54" s="263"/>
      <c r="Q54" s="263"/>
      <c r="R54" s="220"/>
      <c r="S54" s="233"/>
      <c r="T54" s="187"/>
      <c r="U54" s="187"/>
      <c r="V54" s="205"/>
      <c r="W54" s="264" t="s">
        <v>394</v>
      </c>
      <c r="X54" s="263"/>
      <c r="Y54" s="263"/>
      <c r="Z54" s="263"/>
      <c r="AA54" s="220"/>
      <c r="AB54" s="232"/>
      <c r="AF54" s="267">
        <f>AF43+AF49</f>
        <v>0</v>
      </c>
      <c r="AG54" s="183"/>
      <c r="AH54" s="183"/>
      <c r="AI54" s="183"/>
      <c r="AJ54" s="176"/>
      <c r="AK54" s="258"/>
      <c r="AN54" s="324"/>
      <c r="AO54" s="183"/>
      <c r="AP54" s="183"/>
      <c r="AQ54" s="183"/>
    </row>
    <row r="55" spans="2:46" ht="12.95" customHeight="1">
      <c r="D55" s="176" t="s">
        <v>397</v>
      </c>
      <c r="E55" s="268">
        <f>E48</f>
        <v>6.5</v>
      </c>
      <c r="F55" s="265" t="s">
        <v>414</v>
      </c>
      <c r="G55" s="183"/>
      <c r="H55" s="183"/>
      <c r="I55" s="220"/>
      <c r="J55" s="232"/>
      <c r="N55" s="268">
        <f t="shared" si="0"/>
        <v>6.5</v>
      </c>
      <c r="O55" s="265" t="s">
        <v>414</v>
      </c>
      <c r="P55" s="183"/>
      <c r="Q55" s="183"/>
      <c r="R55" s="220"/>
      <c r="S55" s="232"/>
      <c r="W55" s="268">
        <f t="shared" ref="W55:W60" si="1">E55</f>
        <v>6.5</v>
      </c>
      <c r="X55" s="265" t="s">
        <v>414</v>
      </c>
      <c r="Y55" s="183"/>
      <c r="Z55" s="183"/>
      <c r="AA55" s="220"/>
      <c r="AB55" s="232"/>
      <c r="AF55" s="196"/>
      <c r="AJ55" s="177" t="s">
        <v>432</v>
      </c>
      <c r="AK55" s="206"/>
      <c r="AN55" s="196"/>
      <c r="AR55" s="177"/>
    </row>
    <row r="56" spans="2:46" ht="12.95" customHeight="1">
      <c r="D56" s="176"/>
      <c r="E56" s="267"/>
      <c r="F56" s="183"/>
      <c r="G56" s="183"/>
      <c r="H56" s="183"/>
      <c r="I56" s="220"/>
      <c r="J56" s="232"/>
      <c r="M56" s="176"/>
      <c r="N56" s="267">
        <f t="shared" si="0"/>
        <v>0</v>
      </c>
      <c r="O56" s="183"/>
      <c r="P56" s="183"/>
      <c r="Q56" s="183"/>
      <c r="R56" s="220"/>
      <c r="S56" s="232"/>
      <c r="W56" s="267">
        <f t="shared" si="1"/>
        <v>0</v>
      </c>
      <c r="X56" s="183"/>
      <c r="Y56" s="183"/>
      <c r="Z56" s="183"/>
      <c r="AA56" s="220"/>
      <c r="AB56" s="232"/>
      <c r="AJ56" s="177" t="s">
        <v>433</v>
      </c>
      <c r="AK56" s="206"/>
      <c r="AR56" s="177"/>
    </row>
    <row r="57" spans="2:46" ht="12.95" customHeight="1">
      <c r="D57" s="176" t="s">
        <v>398</v>
      </c>
      <c r="E57" s="268">
        <v>2.94</v>
      </c>
      <c r="F57" s="265" t="s">
        <v>414</v>
      </c>
      <c r="G57" s="183"/>
      <c r="H57" s="183"/>
      <c r="I57" s="220"/>
      <c r="J57" s="232"/>
      <c r="M57" s="176"/>
      <c r="N57" s="268">
        <f t="shared" si="0"/>
        <v>2.94</v>
      </c>
      <c r="O57" s="265" t="s">
        <v>414</v>
      </c>
      <c r="P57" s="183"/>
      <c r="Q57" s="183"/>
      <c r="R57" s="220"/>
      <c r="S57" s="232"/>
      <c r="W57" s="268">
        <f t="shared" si="1"/>
        <v>2.94</v>
      </c>
      <c r="X57" s="265" t="s">
        <v>414</v>
      </c>
      <c r="Y57" s="183"/>
      <c r="Z57" s="183"/>
      <c r="AA57" s="220"/>
      <c r="AB57" s="232"/>
      <c r="AJ57" s="177" t="s">
        <v>434</v>
      </c>
      <c r="AK57" s="206"/>
      <c r="AR57" s="177"/>
    </row>
    <row r="58" spans="2:46" ht="12.95" customHeight="1">
      <c r="D58" s="176"/>
      <c r="E58" s="267"/>
      <c r="F58" s="183"/>
      <c r="G58" s="183"/>
      <c r="H58" s="183"/>
      <c r="I58" s="220"/>
      <c r="J58" s="232"/>
      <c r="M58" s="176"/>
      <c r="N58" s="267">
        <f t="shared" si="0"/>
        <v>0</v>
      </c>
      <c r="O58" s="183"/>
      <c r="P58" s="183"/>
      <c r="Q58" s="183"/>
      <c r="R58" s="220"/>
      <c r="S58" s="232"/>
      <c r="W58" s="267">
        <f t="shared" si="1"/>
        <v>0</v>
      </c>
      <c r="X58" s="183"/>
      <c r="Y58" s="183"/>
      <c r="Z58" s="183"/>
      <c r="AA58" s="220"/>
      <c r="AB58" s="232"/>
    </row>
    <row r="59" spans="2:46" ht="12.95" customHeight="1">
      <c r="D59" s="176" t="s">
        <v>399</v>
      </c>
      <c r="E59" s="268">
        <v>3</v>
      </c>
      <c r="F59" s="265" t="s">
        <v>414</v>
      </c>
      <c r="G59" s="263"/>
      <c r="H59" s="263"/>
      <c r="I59" s="220"/>
      <c r="J59" s="232"/>
      <c r="M59" s="176"/>
      <c r="N59" s="268">
        <f t="shared" si="0"/>
        <v>3</v>
      </c>
      <c r="O59" s="265" t="s">
        <v>414</v>
      </c>
      <c r="P59" s="263"/>
      <c r="Q59" s="263"/>
      <c r="R59" s="220"/>
      <c r="S59" s="232"/>
      <c r="W59" s="268">
        <f t="shared" si="1"/>
        <v>3</v>
      </c>
      <c r="X59" s="265" t="s">
        <v>414</v>
      </c>
      <c r="Y59" s="263"/>
      <c r="Z59" s="263"/>
      <c r="AA59" s="220"/>
      <c r="AB59" s="232"/>
      <c r="AD59" s="183" t="s">
        <v>400</v>
      </c>
    </row>
    <row r="60" spans="2:46" ht="12.95" customHeight="1">
      <c r="D60" s="176"/>
      <c r="E60" s="267"/>
      <c r="F60" s="183"/>
      <c r="G60" s="183"/>
      <c r="H60" s="183"/>
      <c r="I60" s="220"/>
      <c r="J60" s="232"/>
      <c r="M60" s="176"/>
      <c r="N60" s="267">
        <f t="shared" si="0"/>
        <v>0</v>
      </c>
      <c r="O60" s="183"/>
      <c r="P60" s="183"/>
      <c r="Q60" s="183"/>
      <c r="R60" s="220"/>
      <c r="S60" s="232"/>
      <c r="V60" s="176"/>
      <c r="W60" s="267">
        <f t="shared" si="1"/>
        <v>0</v>
      </c>
      <c r="X60" s="183"/>
      <c r="Y60" s="183"/>
      <c r="Z60" s="183"/>
      <c r="AA60" s="220"/>
      <c r="AB60" s="232"/>
      <c r="AD60" s="183" t="s">
        <v>401</v>
      </c>
    </row>
    <row r="61" spans="2:46" ht="12.95" customHeight="1">
      <c r="D61" s="176" t="s">
        <v>402</v>
      </c>
      <c r="E61" s="268">
        <f>E55+E57+E59</f>
        <v>12.44</v>
      </c>
      <c r="F61" s="265" t="s">
        <v>414</v>
      </c>
      <c r="G61" s="183"/>
      <c r="H61" s="183"/>
      <c r="I61" s="220"/>
      <c r="J61" s="232"/>
      <c r="M61" s="176"/>
      <c r="N61" s="268">
        <f>N55+N57+N59</f>
        <v>12.44</v>
      </c>
      <c r="O61" s="265" t="s">
        <v>414</v>
      </c>
      <c r="P61" s="183"/>
      <c r="Q61" s="183"/>
      <c r="R61" s="220"/>
      <c r="S61" s="232"/>
      <c r="V61" s="176"/>
      <c r="W61" s="268">
        <f>W55+W57+W59</f>
        <v>12.44</v>
      </c>
      <c r="X61" s="265" t="s">
        <v>414</v>
      </c>
      <c r="Y61" s="183"/>
      <c r="Z61" s="183"/>
      <c r="AA61" s="220"/>
      <c r="AB61" s="232"/>
      <c r="AD61" s="183" t="s">
        <v>408</v>
      </c>
    </row>
    <row r="62" spans="2:46" ht="12.95" customHeight="1">
      <c r="D62" s="176"/>
      <c r="E62" s="267">
        <f>E56+E58+E60</f>
        <v>0</v>
      </c>
      <c r="F62" s="183"/>
      <c r="G62" s="183"/>
      <c r="H62" s="183"/>
      <c r="I62" s="220"/>
      <c r="J62" s="232"/>
      <c r="M62" s="176"/>
      <c r="N62" s="267">
        <f>N56+N58+N60</f>
        <v>0</v>
      </c>
      <c r="O62" s="183"/>
      <c r="P62" s="183"/>
      <c r="Q62" s="183"/>
      <c r="R62" s="220"/>
      <c r="S62" s="232"/>
      <c r="V62" s="176"/>
      <c r="W62" s="267">
        <f>W56+W58+W60</f>
        <v>0</v>
      </c>
      <c r="X62" s="183"/>
      <c r="Y62" s="183"/>
      <c r="Z62" s="183"/>
      <c r="AA62" s="220"/>
      <c r="AB62" s="232"/>
      <c r="AD62" s="183" t="s">
        <v>403</v>
      </c>
    </row>
    <row r="63" spans="2:46" ht="12.95" customHeight="1">
      <c r="I63" s="220"/>
      <c r="J63" s="232"/>
      <c r="M63" s="176"/>
      <c r="R63" s="220"/>
      <c r="S63" s="232"/>
      <c r="V63" s="176"/>
      <c r="AA63" s="220"/>
      <c r="AB63" s="232"/>
      <c r="AE63" s="183"/>
    </row>
    <row r="64" spans="2:46" ht="6" customHeight="1">
      <c r="B64" s="753" t="s">
        <v>431</v>
      </c>
      <c r="C64" s="753"/>
      <c r="D64" s="754"/>
      <c r="E64" s="207"/>
      <c r="F64" s="208"/>
      <c r="G64" s="208"/>
      <c r="H64" s="247"/>
      <c r="I64" s="248"/>
      <c r="J64" s="249"/>
      <c r="K64" s="250"/>
      <c r="L64" s="208"/>
      <c r="M64" s="208"/>
      <c r="N64" s="208"/>
      <c r="O64" s="208"/>
      <c r="P64" s="208"/>
      <c r="Q64" s="247"/>
      <c r="R64" s="248"/>
      <c r="S64" s="249"/>
      <c r="T64" s="250"/>
      <c r="U64" s="208"/>
      <c r="V64" s="208"/>
      <c r="W64" s="208"/>
      <c r="X64" s="208"/>
      <c r="Y64" s="208"/>
      <c r="Z64" s="247"/>
      <c r="AA64" s="248"/>
      <c r="AB64" s="249"/>
      <c r="AC64" s="250"/>
      <c r="AD64" s="208"/>
      <c r="AE64" s="208"/>
      <c r="AF64" s="208"/>
      <c r="AG64" s="192"/>
      <c r="AH64" s="192"/>
      <c r="AI64" s="192"/>
      <c r="AJ64" s="192"/>
      <c r="AK64" s="192"/>
      <c r="AL64" s="192"/>
      <c r="AM64" s="192"/>
      <c r="AN64" s="192"/>
      <c r="AO64" s="192"/>
      <c r="AP64" s="192"/>
      <c r="AQ64" s="192"/>
      <c r="AR64" s="192"/>
      <c r="AS64" s="192"/>
      <c r="AT64" s="238"/>
    </row>
    <row r="65" spans="2:46" ht="12.95" customHeight="1">
      <c r="B65" s="753"/>
      <c r="C65" s="753"/>
      <c r="D65" s="754"/>
      <c r="E65" s="209"/>
      <c r="F65" s="210"/>
      <c r="G65" s="210"/>
      <c r="H65" s="251"/>
      <c r="I65" s="251" t="s">
        <v>409</v>
      </c>
      <c r="J65" s="236"/>
      <c r="K65" s="210"/>
      <c r="L65" s="210"/>
      <c r="M65" s="210"/>
      <c r="N65" s="210"/>
      <c r="O65" s="210"/>
      <c r="P65" s="210"/>
      <c r="Q65" s="251"/>
      <c r="R65" s="251" t="s">
        <v>409</v>
      </c>
      <c r="S65" s="236"/>
      <c r="T65" s="210"/>
      <c r="U65" s="210"/>
      <c r="V65" s="210"/>
      <c r="W65" s="210"/>
      <c r="X65" s="210"/>
      <c r="Y65" s="210"/>
      <c r="Z65" s="251"/>
      <c r="AA65" s="251" t="s">
        <v>409</v>
      </c>
      <c r="AB65" s="236"/>
      <c r="AC65" s="210"/>
      <c r="AD65" s="210"/>
      <c r="AE65" s="210"/>
      <c r="AF65" s="210"/>
      <c r="AG65" s="253"/>
      <c r="AH65" s="253"/>
      <c r="AI65" s="260" t="s">
        <v>411</v>
      </c>
      <c r="AJ65" s="755" t="s">
        <v>624</v>
      </c>
      <c r="AK65" s="755"/>
      <c r="AL65" s="755"/>
      <c r="AM65" s="755"/>
      <c r="AN65" s="755"/>
      <c r="AO65" s="755"/>
      <c r="AP65" s="755"/>
      <c r="AQ65" s="755"/>
      <c r="AR65" s="755"/>
      <c r="AS65" s="755"/>
      <c r="AT65" s="756"/>
    </row>
    <row r="66" spans="2:46" ht="12.95" customHeight="1">
      <c r="E66" s="209"/>
      <c r="F66" s="210"/>
      <c r="G66" s="210"/>
      <c r="H66" s="210"/>
      <c r="I66" s="210"/>
      <c r="J66" s="237"/>
      <c r="K66" s="217"/>
      <c r="L66" s="210"/>
      <c r="M66" s="210"/>
      <c r="N66" s="210"/>
      <c r="O66" s="210"/>
      <c r="P66" s="210"/>
      <c r="Q66" s="210"/>
      <c r="R66" s="210"/>
      <c r="S66" s="237"/>
      <c r="T66" s="210"/>
      <c r="U66" s="210"/>
      <c r="V66" s="210"/>
      <c r="W66" s="210"/>
      <c r="X66" s="210"/>
      <c r="Y66" s="210"/>
      <c r="Z66" s="210"/>
      <c r="AA66" s="210"/>
      <c r="AB66" s="237"/>
      <c r="AC66" s="210"/>
      <c r="AD66" s="210"/>
      <c r="AE66" s="210"/>
      <c r="AF66" s="210"/>
      <c r="AG66" s="259"/>
      <c r="AH66" s="259"/>
      <c r="AI66" s="261" t="s">
        <v>412</v>
      </c>
      <c r="AJ66" s="757" t="s">
        <v>413</v>
      </c>
      <c r="AK66" s="757"/>
      <c r="AL66" s="757"/>
      <c r="AM66" s="757"/>
      <c r="AN66" s="757"/>
      <c r="AO66" s="757"/>
      <c r="AP66" s="757"/>
      <c r="AQ66" s="757"/>
      <c r="AR66" s="757"/>
      <c r="AS66" s="757"/>
      <c r="AT66" s="758"/>
    </row>
    <row r="67" spans="2:46" ht="12.95" customHeight="1">
      <c r="E67" s="209"/>
      <c r="F67" s="759" t="s">
        <v>422</v>
      </c>
      <c r="G67" s="760"/>
      <c r="H67" s="760"/>
      <c r="I67" s="760"/>
      <c r="J67" s="760"/>
      <c r="K67" s="760"/>
      <c r="L67" s="760"/>
      <c r="M67" s="761"/>
      <c r="N67" s="210"/>
      <c r="O67" s="759" t="s">
        <v>423</v>
      </c>
      <c r="P67" s="760"/>
      <c r="Q67" s="760"/>
      <c r="R67" s="760"/>
      <c r="S67" s="760"/>
      <c r="T67" s="760"/>
      <c r="U67" s="760"/>
      <c r="V67" s="761"/>
      <c r="W67" s="211"/>
      <c r="X67" s="759" t="s">
        <v>421</v>
      </c>
      <c r="Y67" s="760"/>
      <c r="Z67" s="760"/>
      <c r="AA67" s="760"/>
      <c r="AB67" s="760"/>
      <c r="AC67" s="760"/>
      <c r="AD67" s="760"/>
      <c r="AE67" s="761"/>
      <c r="AF67" s="212"/>
    </row>
    <row r="68" spans="2:46" ht="12.95" customHeight="1">
      <c r="E68" s="209"/>
      <c r="F68" s="762"/>
      <c r="G68" s="763"/>
      <c r="H68" s="763"/>
      <c r="I68" s="763"/>
      <c r="J68" s="763"/>
      <c r="K68" s="763"/>
      <c r="L68" s="763"/>
      <c r="M68" s="764"/>
      <c r="N68" s="210"/>
      <c r="O68" s="762"/>
      <c r="P68" s="763"/>
      <c r="Q68" s="763"/>
      <c r="R68" s="763"/>
      <c r="S68" s="763"/>
      <c r="T68" s="763"/>
      <c r="U68" s="763"/>
      <c r="V68" s="764"/>
      <c r="W68" s="211"/>
      <c r="X68" s="762"/>
      <c r="Y68" s="763"/>
      <c r="Z68" s="763"/>
      <c r="AA68" s="763"/>
      <c r="AB68" s="763"/>
      <c r="AC68" s="763"/>
      <c r="AD68" s="763"/>
      <c r="AE68" s="764"/>
      <c r="AF68" s="212"/>
    </row>
    <row r="69" spans="2:46" ht="12.95" customHeight="1">
      <c r="E69" s="213" t="s">
        <v>404</v>
      </c>
      <c r="F69" s="214"/>
      <c r="G69" s="210"/>
      <c r="H69" s="211"/>
      <c r="I69" s="211"/>
      <c r="J69" s="211"/>
      <c r="K69" s="211"/>
      <c r="L69" s="211"/>
      <c r="M69" s="211"/>
      <c r="N69" s="215" t="s">
        <v>404</v>
      </c>
      <c r="O69" s="211"/>
      <c r="P69" s="211"/>
      <c r="Q69" s="211"/>
      <c r="R69" s="211"/>
      <c r="S69" s="211"/>
      <c r="T69" s="211"/>
      <c r="U69" s="211"/>
      <c r="V69" s="211"/>
      <c r="W69" s="215" t="s">
        <v>418</v>
      </c>
      <c r="X69" s="211"/>
      <c r="Y69" s="211"/>
      <c r="Z69" s="211"/>
      <c r="AA69" s="211"/>
      <c r="AB69" s="211"/>
      <c r="AC69" s="211"/>
      <c r="AD69" s="211"/>
      <c r="AE69" s="211"/>
      <c r="AF69" s="212"/>
    </row>
    <row r="70" spans="2:46" ht="12.95" customHeight="1">
      <c r="E70" s="213" t="s">
        <v>405</v>
      </c>
      <c r="F70" s="214"/>
      <c r="G70" s="210"/>
      <c r="H70" s="211"/>
      <c r="I70" s="211"/>
      <c r="J70" s="211"/>
      <c r="K70" s="211"/>
      <c r="L70" s="211"/>
      <c r="M70" s="211"/>
      <c r="N70" s="215" t="s">
        <v>405</v>
      </c>
      <c r="O70" s="211"/>
      <c r="P70" s="211"/>
      <c r="Q70" s="211"/>
      <c r="R70" s="211"/>
      <c r="S70" s="211"/>
      <c r="T70" s="211"/>
      <c r="U70" s="211"/>
      <c r="V70" s="211"/>
      <c r="W70" s="215" t="s">
        <v>419</v>
      </c>
      <c r="X70" s="211"/>
      <c r="Y70" s="211"/>
      <c r="Z70" s="211"/>
      <c r="AA70" s="211"/>
      <c r="AB70" s="211"/>
      <c r="AC70" s="211"/>
      <c r="AD70" s="211"/>
      <c r="AE70" s="211"/>
      <c r="AF70" s="212"/>
    </row>
    <row r="71" spans="2:46" ht="12.95" customHeight="1">
      <c r="E71" s="213" t="s">
        <v>406</v>
      </c>
      <c r="F71" s="214"/>
      <c r="G71" s="210"/>
      <c r="H71" s="211"/>
      <c r="I71" s="211"/>
      <c r="J71" s="211"/>
      <c r="K71" s="211"/>
      <c r="L71" s="211"/>
      <c r="M71" s="211"/>
      <c r="N71" s="215" t="s">
        <v>406</v>
      </c>
      <c r="O71" s="211"/>
      <c r="P71" s="211"/>
      <c r="Q71" s="211"/>
      <c r="R71" s="211"/>
      <c r="S71" s="211"/>
      <c r="T71" s="211"/>
      <c r="U71" s="211"/>
      <c r="V71" s="211"/>
      <c r="W71" s="215" t="s">
        <v>420</v>
      </c>
      <c r="X71" s="211"/>
      <c r="Y71" s="211"/>
      <c r="Z71" s="211"/>
      <c r="AA71" s="211"/>
      <c r="AB71" s="211"/>
      <c r="AC71" s="211"/>
      <c r="AD71" s="211"/>
      <c r="AE71" s="211"/>
      <c r="AF71" s="212"/>
    </row>
    <row r="72" spans="2:46" ht="12.95" customHeight="1">
      <c r="E72" s="213" t="s">
        <v>407</v>
      </c>
      <c r="F72" s="214"/>
      <c r="G72" s="210"/>
      <c r="H72" s="211"/>
      <c r="I72" s="211"/>
      <c r="J72" s="211"/>
      <c r="K72" s="211"/>
      <c r="L72" s="211"/>
      <c r="M72" s="211"/>
      <c r="N72" s="215" t="s">
        <v>407</v>
      </c>
      <c r="O72" s="211"/>
      <c r="P72" s="211"/>
      <c r="Q72" s="211"/>
      <c r="R72" s="211"/>
      <c r="S72" s="211"/>
      <c r="T72" s="211"/>
      <c r="U72" s="211"/>
      <c r="V72" s="211"/>
      <c r="W72" s="211"/>
      <c r="X72" s="211"/>
      <c r="Y72" s="211"/>
      <c r="Z72" s="211"/>
      <c r="AA72" s="211"/>
      <c r="AB72" s="211"/>
      <c r="AC72" s="211"/>
      <c r="AD72" s="211"/>
      <c r="AE72" s="211"/>
      <c r="AF72" s="212"/>
    </row>
    <row r="73" spans="2:46" ht="12.95" customHeight="1">
      <c r="E73" s="216"/>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8"/>
    </row>
    <row r="78" spans="2:46" ht="12.95" customHeight="1">
      <c r="E78" s="183"/>
    </row>
  </sheetData>
  <mergeCells count="39">
    <mergeCell ref="B36:D37"/>
    <mergeCell ref="B64:D65"/>
    <mergeCell ref="AJ65:AT65"/>
    <mergeCell ref="AJ66:AT66"/>
    <mergeCell ref="F67:M68"/>
    <mergeCell ref="O67:V68"/>
    <mergeCell ref="X67:AE68"/>
    <mergeCell ref="B41:D42"/>
    <mergeCell ref="B47:D48"/>
    <mergeCell ref="B45:D45"/>
    <mergeCell ref="E47:H47"/>
    <mergeCell ref="W47:Z47"/>
    <mergeCell ref="AF47:AI47"/>
    <mergeCell ref="AN47:AQ47"/>
    <mergeCell ref="E52:H52"/>
    <mergeCell ref="N52:Q52"/>
    <mergeCell ref="W52:Z52"/>
    <mergeCell ref="AF52:AI52"/>
    <mergeCell ref="AN52:AQ52"/>
    <mergeCell ref="E35:AT35"/>
    <mergeCell ref="E41:H41"/>
    <mergeCell ref="N41:Q41"/>
    <mergeCell ref="W41:Z41"/>
    <mergeCell ref="AF41:AI41"/>
    <mergeCell ref="AN41:AQ41"/>
    <mergeCell ref="E31:H31"/>
    <mergeCell ref="N31:Q31"/>
    <mergeCell ref="B2:AU3"/>
    <mergeCell ref="E12:H12"/>
    <mergeCell ref="N12:Q12"/>
    <mergeCell ref="E17:H17"/>
    <mergeCell ref="N17:Q17"/>
    <mergeCell ref="F21:M21"/>
    <mergeCell ref="O21:V21"/>
    <mergeCell ref="F22:V22"/>
    <mergeCell ref="F23:M23"/>
    <mergeCell ref="O23:V23"/>
    <mergeCell ref="E26:H26"/>
    <mergeCell ref="N26:Q26"/>
  </mergeCells>
  <phoneticPr fontId="3"/>
  <hyperlinks>
    <hyperlink ref="A1" location="menu!A1" display="menu" xr:uid="{00000000-0004-0000-2200-000000000000}"/>
  </hyperlinks>
  <printOptions horizontalCentered="1" verticalCentered="1"/>
  <pageMargins left="0.59055118110236227" right="0.59055118110236227" top="0.39370078740157483" bottom="0.39370078740157483" header="0" footer="0"/>
  <pageSetup paperSize="9" scale="85"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I38"/>
  <sheetViews>
    <sheetView showGridLines="0" view="pageBreakPreview" zoomScale="85" zoomScaleNormal="100" zoomScaleSheetLayoutView="85" workbookViewId="0">
      <selection activeCell="B14" sqref="B14:I15"/>
    </sheetView>
  </sheetViews>
  <sheetFormatPr defaultRowHeight="18.75"/>
  <sheetData>
    <row r="1" spans="1:9">
      <c r="A1" s="298" t="s">
        <v>476</v>
      </c>
    </row>
    <row r="7" spans="1:9" ht="18.75" customHeight="1">
      <c r="B7" s="529" t="str">
        <f>+menu!F4</f>
        <v>令和6年度</v>
      </c>
      <c r="C7" s="529"/>
      <c r="D7" s="529"/>
    </row>
    <row r="8" spans="1:9" ht="18.75" customHeight="1">
      <c r="B8" s="529"/>
      <c r="C8" s="529"/>
      <c r="D8" s="529"/>
    </row>
    <row r="9" spans="1:9" ht="18.75" customHeight="1">
      <c r="B9" s="530" t="str">
        <f>+menu!F6</f>
        <v>鶴岡市集落排水事業</v>
      </c>
      <c r="C9" s="530"/>
      <c r="D9" s="530"/>
      <c r="E9" s="530"/>
      <c r="F9" s="530"/>
      <c r="G9" s="530"/>
      <c r="H9" s="530"/>
      <c r="I9" s="530"/>
    </row>
    <row r="10" spans="1:9" ht="18.75" customHeight="1">
      <c r="B10" s="530"/>
      <c r="C10" s="530"/>
      <c r="D10" s="530"/>
      <c r="E10" s="530"/>
      <c r="F10" s="530"/>
      <c r="G10" s="530"/>
      <c r="H10" s="530"/>
      <c r="I10" s="530"/>
    </row>
    <row r="11" spans="1:9" ht="18.75" customHeight="1">
      <c r="B11" s="530" t="str">
        <f>+menu!F8</f>
        <v>三瀬地区No.147-2号マンホールポンプ新設工事</v>
      </c>
      <c r="C11" s="530"/>
      <c r="D11" s="530"/>
      <c r="E11" s="530"/>
      <c r="F11" s="530"/>
      <c r="G11" s="530"/>
      <c r="H11" s="530"/>
      <c r="I11" s="530"/>
    </row>
    <row r="12" spans="1:9" ht="18.75" customHeight="1">
      <c r="B12" s="530"/>
      <c r="C12" s="530"/>
      <c r="D12" s="530"/>
      <c r="E12" s="530"/>
      <c r="F12" s="530"/>
      <c r="G12" s="530"/>
      <c r="H12" s="530"/>
      <c r="I12" s="530"/>
    </row>
    <row r="14" spans="1:9">
      <c r="B14" s="530" t="s">
        <v>495</v>
      </c>
      <c r="C14" s="530"/>
      <c r="D14" s="530"/>
      <c r="E14" s="530"/>
      <c r="F14" s="530"/>
      <c r="G14" s="530"/>
      <c r="H14" s="530"/>
      <c r="I14" s="530"/>
    </row>
    <row r="15" spans="1:9">
      <c r="B15" s="530"/>
      <c r="C15" s="530"/>
      <c r="D15" s="530"/>
      <c r="E15" s="530"/>
      <c r="F15" s="530"/>
      <c r="G15" s="530"/>
      <c r="H15" s="530"/>
      <c r="I15" s="530"/>
    </row>
    <row r="16" spans="1:9">
      <c r="B16" s="530" t="s">
        <v>215</v>
      </c>
      <c r="C16" s="530"/>
      <c r="D16" s="530"/>
      <c r="E16" s="530"/>
      <c r="F16" s="530"/>
      <c r="G16" s="530"/>
      <c r="H16" s="530"/>
      <c r="I16" s="530"/>
    </row>
    <row r="17" spans="2:9">
      <c r="B17" s="530"/>
      <c r="C17" s="530"/>
      <c r="D17" s="530"/>
      <c r="E17" s="530"/>
      <c r="F17" s="530"/>
      <c r="G17" s="530"/>
      <c r="H17" s="530"/>
      <c r="I17" s="530"/>
    </row>
    <row r="20" spans="2:9">
      <c r="B20" s="658" t="str">
        <f>+menu!F12</f>
        <v>No.147-2号マンホールポンプ</v>
      </c>
      <c r="C20" s="659"/>
      <c r="D20" s="659"/>
      <c r="E20" s="659"/>
      <c r="F20" s="659"/>
      <c r="G20" s="659"/>
      <c r="H20" s="659"/>
      <c r="I20" s="659"/>
    </row>
    <row r="21" spans="2:9">
      <c r="B21" s="659"/>
      <c r="C21" s="659"/>
      <c r="D21" s="659"/>
      <c r="E21" s="659"/>
      <c r="F21" s="659"/>
      <c r="G21" s="659"/>
      <c r="H21" s="659"/>
      <c r="I21" s="659"/>
    </row>
    <row r="35" spans="2:9" ht="18.75" customHeight="1">
      <c r="B35" s="528" t="str">
        <f>+menu!F10</f>
        <v>鶴岡市三瀬　地内</v>
      </c>
      <c r="C35" s="528"/>
      <c r="D35" s="528"/>
      <c r="E35" s="528"/>
      <c r="F35" s="528"/>
      <c r="G35" s="528"/>
      <c r="H35" s="528"/>
      <c r="I35" s="528"/>
    </row>
    <row r="36" spans="2:9" ht="18.75" customHeight="1">
      <c r="B36" s="528"/>
      <c r="C36" s="528"/>
      <c r="D36" s="528"/>
      <c r="E36" s="528"/>
      <c r="F36" s="528"/>
      <c r="G36" s="528"/>
      <c r="H36" s="528"/>
      <c r="I36" s="528"/>
    </row>
    <row r="37" spans="2:9">
      <c r="B37" s="528" t="s">
        <v>211</v>
      </c>
      <c r="C37" s="528"/>
      <c r="D37" s="528"/>
      <c r="E37" s="528"/>
      <c r="F37" s="528"/>
      <c r="G37" s="528"/>
      <c r="H37" s="528"/>
      <c r="I37" s="528"/>
    </row>
    <row r="38" spans="2:9">
      <c r="B38" s="528"/>
      <c r="C38" s="528"/>
      <c r="D38" s="528"/>
      <c r="E38" s="528"/>
      <c r="F38" s="528"/>
      <c r="G38" s="528"/>
      <c r="H38" s="528"/>
      <c r="I38" s="528"/>
    </row>
  </sheetData>
  <mergeCells count="8">
    <mergeCell ref="B35:I36"/>
    <mergeCell ref="B37:I38"/>
    <mergeCell ref="B7:D8"/>
    <mergeCell ref="B9:I10"/>
    <mergeCell ref="B11:I12"/>
    <mergeCell ref="B14:I15"/>
    <mergeCell ref="B16:I17"/>
    <mergeCell ref="B20:I21"/>
  </mergeCells>
  <phoneticPr fontId="3"/>
  <hyperlinks>
    <hyperlink ref="A1" location="menu!A1" display="menu" xr:uid="{00000000-0004-0000-2300-000000000000}"/>
  </hyperlink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BK49"/>
  <sheetViews>
    <sheetView showGridLines="0" showZeros="0" view="pageBreakPreview" zoomScale="85" zoomScaleNormal="100" zoomScaleSheetLayoutView="85" workbookViewId="0"/>
  </sheetViews>
  <sheetFormatPr defaultRowHeight="18.75"/>
  <cols>
    <col min="2" max="3" width="20.625" customWidth="1"/>
    <col min="4" max="4" width="5.625" customWidth="1"/>
    <col min="5" max="5" width="8.625" customWidth="1"/>
    <col min="6" max="6" width="28.625" customWidth="1"/>
    <col min="7" max="7" width="15.625" customWidth="1"/>
    <col min="8" max="8" width="2.625" customWidth="1"/>
    <col min="9" max="10" width="20.625" customWidth="1"/>
    <col min="11" max="11" width="5.625" customWidth="1"/>
    <col min="12" max="12" width="8.625" customWidth="1"/>
    <col min="13" max="13" width="28.625" customWidth="1"/>
    <col min="14" max="14" width="15.625" customWidth="1"/>
    <col min="15" max="15" width="2.625" customWidth="1"/>
    <col min="16" max="17" width="20.625" customWidth="1"/>
    <col min="18" max="18" width="5.625" customWidth="1"/>
    <col min="19" max="19" width="8.625" customWidth="1"/>
    <col min="20" max="20" width="28.625" customWidth="1"/>
    <col min="21" max="21" width="15.625" customWidth="1"/>
    <col min="22" max="22" width="2.625" customWidth="1"/>
    <col min="23" max="24" width="20.625" customWidth="1"/>
    <col min="25" max="25" width="5.625" customWidth="1"/>
    <col min="26" max="26" width="8.625" customWidth="1"/>
    <col min="27" max="27" width="28.625" customWidth="1"/>
    <col min="28" max="28" width="15.625" customWidth="1"/>
    <col min="29" max="29" width="2.625" customWidth="1"/>
    <col min="30" max="31" width="20.625" customWidth="1"/>
    <col min="32" max="32" width="5.625" customWidth="1"/>
    <col min="33" max="33" width="8.625" customWidth="1"/>
    <col min="34" max="34" width="28.625" customWidth="1"/>
    <col min="35" max="35" width="15.625" customWidth="1"/>
    <col min="36" max="36" width="2.625" customWidth="1"/>
    <col min="37" max="38" width="20.625" customWidth="1"/>
    <col min="39" max="39" width="5.625" customWidth="1"/>
    <col min="40" max="40" width="8.625" customWidth="1"/>
    <col min="41" max="41" width="28.625" customWidth="1"/>
    <col min="42" max="42" width="15.625" customWidth="1"/>
    <col min="43" max="43" width="2.625" customWidth="1"/>
    <col min="44" max="45" width="20.625" customWidth="1"/>
    <col min="46" max="46" width="5.625" customWidth="1"/>
    <col min="47" max="47" width="8.625" customWidth="1"/>
    <col min="48" max="48" width="28.625" customWidth="1"/>
    <col min="49" max="49" width="15.625" customWidth="1"/>
    <col min="50" max="50" width="2.625" customWidth="1"/>
    <col min="51" max="52" width="20.625" customWidth="1"/>
    <col min="53" max="53" width="5.625" customWidth="1"/>
    <col min="54" max="54" width="8.625" customWidth="1"/>
    <col min="55" max="55" width="28.625" customWidth="1"/>
    <col min="56" max="56" width="15.625" customWidth="1"/>
    <col min="57" max="57" width="2.625" customWidth="1"/>
    <col min="58" max="59" width="20.625" customWidth="1"/>
    <col min="60" max="60" width="5.625" customWidth="1"/>
    <col min="61" max="61" width="8.625" customWidth="1"/>
    <col min="62" max="62" width="28.625" customWidth="1"/>
    <col min="63" max="63" width="15.625" customWidth="1"/>
  </cols>
  <sheetData>
    <row r="1" spans="1:63">
      <c r="A1" s="298" t="s">
        <v>476</v>
      </c>
    </row>
    <row r="2" spans="1:63" ht="18.75" customHeight="1">
      <c r="B2" s="674" t="s">
        <v>498</v>
      </c>
      <c r="C2" s="675"/>
      <c r="D2" s="90"/>
      <c r="E2" s="675" t="s">
        <v>555</v>
      </c>
      <c r="F2" s="675"/>
      <c r="G2" s="680" t="s">
        <v>9</v>
      </c>
      <c r="I2" s="674" t="s">
        <v>498</v>
      </c>
      <c r="J2" s="675"/>
      <c r="K2" s="90"/>
      <c r="L2" s="675" t="s">
        <v>556</v>
      </c>
      <c r="M2" s="675"/>
      <c r="N2" s="680" t="s">
        <v>9</v>
      </c>
      <c r="P2" s="674" t="s">
        <v>498</v>
      </c>
      <c r="Q2" s="675"/>
      <c r="R2" s="90"/>
      <c r="S2" s="675" t="s">
        <v>554</v>
      </c>
      <c r="T2" s="675"/>
      <c r="U2" s="680" t="s">
        <v>9</v>
      </c>
      <c r="W2" s="674" t="s">
        <v>498</v>
      </c>
      <c r="X2" s="675"/>
      <c r="Y2" s="90"/>
      <c r="Z2" s="675"/>
      <c r="AA2" s="675"/>
      <c r="AB2" s="680" t="s">
        <v>9</v>
      </c>
      <c r="AD2" s="674" t="s">
        <v>498</v>
      </c>
      <c r="AE2" s="675"/>
      <c r="AF2" s="90"/>
      <c r="AG2" s="675"/>
      <c r="AH2" s="675"/>
      <c r="AI2" s="680" t="s">
        <v>9</v>
      </c>
      <c r="AK2" s="674" t="s">
        <v>498</v>
      </c>
      <c r="AL2" s="675"/>
      <c r="AM2" s="90"/>
      <c r="AN2" s="675"/>
      <c r="AO2" s="675"/>
      <c r="AP2" s="680" t="s">
        <v>9</v>
      </c>
      <c r="AR2" s="674" t="s">
        <v>498</v>
      </c>
      <c r="AS2" s="675"/>
      <c r="AT2" s="90"/>
      <c r="AU2" s="675"/>
      <c r="AV2" s="675"/>
      <c r="AW2" s="680" t="s">
        <v>9</v>
      </c>
      <c r="AY2" s="674" t="s">
        <v>498</v>
      </c>
      <c r="AZ2" s="675"/>
      <c r="BA2" s="90"/>
      <c r="BB2" s="675"/>
      <c r="BC2" s="675"/>
      <c r="BD2" s="680" t="s">
        <v>9</v>
      </c>
      <c r="BF2" s="674" t="s">
        <v>498</v>
      </c>
      <c r="BG2" s="675"/>
      <c r="BH2" s="90"/>
      <c r="BI2" s="675"/>
      <c r="BJ2" s="675"/>
      <c r="BK2" s="680" t="s">
        <v>9</v>
      </c>
    </row>
    <row r="3" spans="1:63" ht="18.75" customHeight="1">
      <c r="B3" s="676"/>
      <c r="C3" s="677"/>
      <c r="D3" s="91"/>
      <c r="E3" s="677"/>
      <c r="F3" s="677"/>
      <c r="G3" s="681"/>
      <c r="I3" s="676"/>
      <c r="J3" s="677"/>
      <c r="K3" s="91"/>
      <c r="L3" s="677"/>
      <c r="M3" s="677"/>
      <c r="N3" s="681"/>
      <c r="P3" s="676"/>
      <c r="Q3" s="677"/>
      <c r="R3" s="91"/>
      <c r="S3" s="677"/>
      <c r="T3" s="677"/>
      <c r="U3" s="681"/>
      <c r="W3" s="676"/>
      <c r="X3" s="677"/>
      <c r="Y3" s="91"/>
      <c r="Z3" s="677"/>
      <c r="AA3" s="677"/>
      <c r="AB3" s="681"/>
      <c r="AD3" s="676"/>
      <c r="AE3" s="677"/>
      <c r="AF3" s="91"/>
      <c r="AG3" s="677"/>
      <c r="AH3" s="677"/>
      <c r="AI3" s="681"/>
      <c r="AK3" s="676"/>
      <c r="AL3" s="677"/>
      <c r="AM3" s="91"/>
      <c r="AN3" s="677"/>
      <c r="AO3" s="677"/>
      <c r="AP3" s="681"/>
      <c r="AR3" s="676"/>
      <c r="AS3" s="677"/>
      <c r="AT3" s="91"/>
      <c r="AU3" s="677"/>
      <c r="AV3" s="677"/>
      <c r="AW3" s="681"/>
      <c r="AY3" s="676"/>
      <c r="AZ3" s="677"/>
      <c r="BA3" s="91"/>
      <c r="BB3" s="677"/>
      <c r="BC3" s="677"/>
      <c r="BD3" s="681"/>
      <c r="BF3" s="676"/>
      <c r="BG3" s="677"/>
      <c r="BH3" s="91"/>
      <c r="BI3" s="677"/>
      <c r="BJ3" s="677"/>
      <c r="BK3" s="681"/>
    </row>
    <row r="4" spans="1:63" ht="19.5" thickBot="1">
      <c r="B4" s="24" t="s">
        <v>5</v>
      </c>
      <c r="C4" s="25" t="s">
        <v>1</v>
      </c>
      <c r="D4" s="25" t="s">
        <v>3</v>
      </c>
      <c r="E4" s="25" t="s">
        <v>4</v>
      </c>
      <c r="F4" s="25" t="s">
        <v>97</v>
      </c>
      <c r="G4" s="25" t="s">
        <v>8</v>
      </c>
      <c r="I4" s="24" t="s">
        <v>5</v>
      </c>
      <c r="J4" s="25" t="s">
        <v>1</v>
      </c>
      <c r="K4" s="25" t="s">
        <v>3</v>
      </c>
      <c r="L4" s="25" t="s">
        <v>4</v>
      </c>
      <c r="M4" s="25" t="s">
        <v>97</v>
      </c>
      <c r="N4" s="25" t="s">
        <v>8</v>
      </c>
      <c r="P4" s="24" t="s">
        <v>5</v>
      </c>
      <c r="Q4" s="25" t="s">
        <v>1</v>
      </c>
      <c r="R4" s="25" t="s">
        <v>3</v>
      </c>
      <c r="S4" s="25" t="s">
        <v>4</v>
      </c>
      <c r="T4" s="25" t="s">
        <v>97</v>
      </c>
      <c r="U4" s="25" t="s">
        <v>8</v>
      </c>
      <c r="W4" s="24" t="s">
        <v>5</v>
      </c>
      <c r="X4" s="25" t="s">
        <v>1</v>
      </c>
      <c r="Y4" s="25" t="s">
        <v>3</v>
      </c>
      <c r="Z4" s="25" t="s">
        <v>4</v>
      </c>
      <c r="AA4" s="25" t="s">
        <v>97</v>
      </c>
      <c r="AB4" s="25" t="s">
        <v>8</v>
      </c>
      <c r="AD4" s="24" t="s">
        <v>5</v>
      </c>
      <c r="AE4" s="25" t="s">
        <v>1</v>
      </c>
      <c r="AF4" s="25" t="s">
        <v>3</v>
      </c>
      <c r="AG4" s="25" t="s">
        <v>4</v>
      </c>
      <c r="AH4" s="25" t="s">
        <v>97</v>
      </c>
      <c r="AI4" s="25" t="s">
        <v>8</v>
      </c>
      <c r="AK4" s="24" t="s">
        <v>5</v>
      </c>
      <c r="AL4" s="25" t="s">
        <v>1</v>
      </c>
      <c r="AM4" s="25" t="s">
        <v>3</v>
      </c>
      <c r="AN4" s="25" t="s">
        <v>4</v>
      </c>
      <c r="AO4" s="25" t="s">
        <v>97</v>
      </c>
      <c r="AP4" s="25" t="s">
        <v>8</v>
      </c>
      <c r="AR4" s="24" t="s">
        <v>5</v>
      </c>
      <c r="AS4" s="25" t="s">
        <v>1</v>
      </c>
      <c r="AT4" s="25" t="s">
        <v>3</v>
      </c>
      <c r="AU4" s="25" t="s">
        <v>4</v>
      </c>
      <c r="AV4" s="25" t="s">
        <v>97</v>
      </c>
      <c r="AW4" s="25" t="s">
        <v>8</v>
      </c>
      <c r="AY4" s="24" t="s">
        <v>5</v>
      </c>
      <c r="AZ4" s="25" t="s">
        <v>1</v>
      </c>
      <c r="BA4" s="25" t="s">
        <v>3</v>
      </c>
      <c r="BB4" s="25" t="s">
        <v>4</v>
      </c>
      <c r="BC4" s="25" t="s">
        <v>97</v>
      </c>
      <c r="BD4" s="25" t="s">
        <v>8</v>
      </c>
      <c r="BF4" s="24" t="s">
        <v>5</v>
      </c>
      <c r="BG4" s="25" t="s">
        <v>1</v>
      </c>
      <c r="BH4" s="25" t="s">
        <v>3</v>
      </c>
      <c r="BI4" s="25" t="s">
        <v>4</v>
      </c>
      <c r="BJ4" s="25" t="s">
        <v>97</v>
      </c>
      <c r="BK4" s="25" t="s">
        <v>8</v>
      </c>
    </row>
    <row r="5" spans="1:63" ht="19.5" customHeight="1" thickTop="1">
      <c r="B5" s="667" t="s">
        <v>288</v>
      </c>
      <c r="C5" s="668" t="s">
        <v>359</v>
      </c>
      <c r="D5" s="30" t="s">
        <v>499</v>
      </c>
      <c r="E5" s="314">
        <v>4.22</v>
      </c>
      <c r="F5" s="173" t="s">
        <v>503</v>
      </c>
      <c r="G5" s="43" t="s">
        <v>504</v>
      </c>
      <c r="I5" s="667" t="s">
        <v>545</v>
      </c>
      <c r="J5" s="668"/>
      <c r="K5" s="30"/>
      <c r="L5" s="37"/>
      <c r="M5" s="101"/>
      <c r="N5" s="43"/>
      <c r="P5" s="682" t="s">
        <v>557</v>
      </c>
      <c r="Q5" s="683"/>
      <c r="R5" s="30"/>
      <c r="S5" s="37"/>
      <c r="T5" s="101"/>
      <c r="U5" s="43"/>
      <c r="W5" s="682"/>
      <c r="X5" s="683"/>
      <c r="Y5" s="30"/>
      <c r="Z5" s="37"/>
      <c r="AA5" s="101"/>
      <c r="AB5" s="43"/>
      <c r="AD5" s="682"/>
      <c r="AE5" s="683"/>
      <c r="AF5" s="30"/>
      <c r="AG5" s="37"/>
      <c r="AH5" s="101"/>
      <c r="AI5" s="43"/>
      <c r="AK5" s="682"/>
      <c r="AL5" s="683"/>
      <c r="AM5" s="30"/>
      <c r="AN5" s="37"/>
      <c r="AO5" s="101"/>
      <c r="AP5" s="43"/>
      <c r="AR5" s="682"/>
      <c r="AS5" s="683"/>
      <c r="AT5" s="30"/>
      <c r="AU5" s="37"/>
      <c r="AV5" s="101"/>
      <c r="AW5" s="43"/>
      <c r="AY5" s="682"/>
      <c r="AZ5" s="683"/>
      <c r="BA5" s="30"/>
      <c r="BB5" s="37"/>
      <c r="BC5" s="101"/>
      <c r="BD5" s="43"/>
      <c r="BF5" s="682"/>
      <c r="BG5" s="683"/>
      <c r="BH5" s="30"/>
      <c r="BI5" s="37"/>
      <c r="BJ5" s="101"/>
      <c r="BK5" s="43"/>
    </row>
    <row r="6" spans="1:63">
      <c r="B6" s="662"/>
      <c r="C6" s="664"/>
      <c r="D6" s="31"/>
      <c r="E6" s="315"/>
      <c r="F6" s="174"/>
      <c r="G6" s="44"/>
      <c r="I6" s="662"/>
      <c r="J6" s="664"/>
      <c r="K6" s="31"/>
      <c r="L6" s="38"/>
      <c r="M6" s="102"/>
      <c r="N6" s="44"/>
      <c r="P6" s="662"/>
      <c r="Q6" s="664"/>
      <c r="R6" s="31"/>
      <c r="S6" s="38"/>
      <c r="T6" s="102"/>
      <c r="U6" s="44"/>
      <c r="W6" s="662"/>
      <c r="X6" s="664"/>
      <c r="Y6" s="31"/>
      <c r="Z6" s="38"/>
      <c r="AA6" s="102"/>
      <c r="AB6" s="44"/>
      <c r="AD6" s="662"/>
      <c r="AE6" s="664"/>
      <c r="AF6" s="31"/>
      <c r="AG6" s="38"/>
      <c r="AH6" s="102"/>
      <c r="AI6" s="44"/>
      <c r="AK6" s="662"/>
      <c r="AL6" s="664"/>
      <c r="AM6" s="31"/>
      <c r="AN6" s="38"/>
      <c r="AO6" s="102"/>
      <c r="AP6" s="44"/>
      <c r="AR6" s="662"/>
      <c r="AS6" s="664"/>
      <c r="AT6" s="31"/>
      <c r="AU6" s="38"/>
      <c r="AV6" s="102"/>
      <c r="AW6" s="44"/>
      <c r="AY6" s="662"/>
      <c r="AZ6" s="664"/>
      <c r="BA6" s="31"/>
      <c r="BB6" s="38"/>
      <c r="BC6" s="102"/>
      <c r="BD6" s="44"/>
      <c r="BF6" s="662"/>
      <c r="BG6" s="664"/>
      <c r="BH6" s="31"/>
      <c r="BI6" s="38"/>
      <c r="BJ6" s="102"/>
      <c r="BK6" s="44"/>
    </row>
    <row r="7" spans="1:63" ht="18.75" customHeight="1">
      <c r="B7" s="661" t="s">
        <v>351</v>
      </c>
      <c r="C7" s="668" t="s">
        <v>360</v>
      </c>
      <c r="D7" s="32" t="s">
        <v>500</v>
      </c>
      <c r="E7" s="316">
        <v>2.11</v>
      </c>
      <c r="F7" s="173" t="s">
        <v>505</v>
      </c>
      <c r="G7" s="45" t="s">
        <v>506</v>
      </c>
      <c r="I7" s="667" t="s">
        <v>513</v>
      </c>
      <c r="J7" s="668" t="s">
        <v>514</v>
      </c>
      <c r="K7" s="30" t="s">
        <v>515</v>
      </c>
      <c r="L7" s="37">
        <v>1</v>
      </c>
      <c r="M7" s="101" t="s">
        <v>516</v>
      </c>
      <c r="N7" s="45" t="s">
        <v>552</v>
      </c>
      <c r="P7" s="661" t="s">
        <v>560</v>
      </c>
      <c r="Q7" s="668" t="s">
        <v>559</v>
      </c>
      <c r="R7" s="32" t="s">
        <v>499</v>
      </c>
      <c r="S7" s="39"/>
      <c r="T7" s="101"/>
      <c r="U7" s="45"/>
      <c r="W7" s="661"/>
      <c r="X7" s="668"/>
      <c r="Y7" s="32"/>
      <c r="Z7" s="39"/>
      <c r="AA7" s="101"/>
      <c r="AB7" s="45"/>
      <c r="AD7" s="661"/>
      <c r="AE7" s="668"/>
      <c r="AF7" s="32"/>
      <c r="AG7" s="39"/>
      <c r="AH7" s="101"/>
      <c r="AI7" s="45"/>
      <c r="AK7" s="661"/>
      <c r="AL7" s="668"/>
      <c r="AM7" s="32"/>
      <c r="AN7" s="39"/>
      <c r="AO7" s="101"/>
      <c r="AP7" s="45"/>
      <c r="AR7" s="661"/>
      <c r="AS7" s="668"/>
      <c r="AT7" s="32"/>
      <c r="AU7" s="39"/>
      <c r="AV7" s="101"/>
      <c r="AW7" s="45"/>
      <c r="AY7" s="661"/>
      <c r="AZ7" s="668"/>
      <c r="BA7" s="32"/>
      <c r="BB7" s="39"/>
      <c r="BC7" s="101"/>
      <c r="BD7" s="45"/>
      <c r="BF7" s="661"/>
      <c r="BG7" s="668"/>
      <c r="BH7" s="32"/>
      <c r="BI7" s="39"/>
      <c r="BJ7" s="101"/>
      <c r="BK7" s="45"/>
    </row>
    <row r="8" spans="1:63">
      <c r="B8" s="662"/>
      <c r="C8" s="664"/>
      <c r="D8" s="31"/>
      <c r="E8" s="315"/>
      <c r="F8" s="174"/>
      <c r="G8" s="44"/>
      <c r="I8" s="662"/>
      <c r="J8" s="664"/>
      <c r="K8" s="31"/>
      <c r="L8" s="38"/>
      <c r="M8" s="102"/>
      <c r="N8" s="44"/>
      <c r="P8" s="662"/>
      <c r="Q8" s="664"/>
      <c r="R8" s="31"/>
      <c r="S8" s="38"/>
      <c r="T8" s="102"/>
      <c r="U8" s="44"/>
      <c r="W8" s="662"/>
      <c r="X8" s="664"/>
      <c r="Y8" s="31"/>
      <c r="Z8" s="38"/>
      <c r="AA8" s="102"/>
      <c r="AB8" s="44"/>
      <c r="AD8" s="662"/>
      <c r="AE8" s="664"/>
      <c r="AF8" s="31"/>
      <c r="AG8" s="38"/>
      <c r="AH8" s="102"/>
      <c r="AI8" s="44"/>
      <c r="AK8" s="662"/>
      <c r="AL8" s="664"/>
      <c r="AM8" s="31"/>
      <c r="AN8" s="38"/>
      <c r="AO8" s="102"/>
      <c r="AP8" s="44"/>
      <c r="AR8" s="662"/>
      <c r="AS8" s="664"/>
      <c r="AT8" s="31"/>
      <c r="AU8" s="38"/>
      <c r="AV8" s="102"/>
      <c r="AW8" s="44"/>
      <c r="AY8" s="662"/>
      <c r="AZ8" s="664"/>
      <c r="BA8" s="31"/>
      <c r="BB8" s="38"/>
      <c r="BC8" s="102"/>
      <c r="BD8" s="44"/>
      <c r="BF8" s="662"/>
      <c r="BG8" s="664"/>
      <c r="BH8" s="31"/>
      <c r="BI8" s="38"/>
      <c r="BJ8" s="102"/>
      <c r="BK8" s="44"/>
    </row>
    <row r="9" spans="1:63" ht="18.75" customHeight="1">
      <c r="B9" s="661" t="s">
        <v>352</v>
      </c>
      <c r="C9" s="668" t="s">
        <v>507</v>
      </c>
      <c r="D9" s="32" t="s">
        <v>501</v>
      </c>
      <c r="E9" s="316"/>
      <c r="F9" s="173"/>
      <c r="G9" s="45"/>
      <c r="I9" s="667" t="s">
        <v>546</v>
      </c>
      <c r="J9" s="668" t="s">
        <v>547</v>
      </c>
      <c r="K9" s="32" t="s">
        <v>548</v>
      </c>
      <c r="L9" s="39">
        <v>1</v>
      </c>
      <c r="M9" s="101" t="s">
        <v>516</v>
      </c>
      <c r="N9" s="45"/>
      <c r="P9" s="661" t="s">
        <v>561</v>
      </c>
      <c r="Q9" s="668" t="s">
        <v>562</v>
      </c>
      <c r="R9" s="32" t="s">
        <v>535</v>
      </c>
      <c r="S9" s="39"/>
      <c r="T9" s="101"/>
      <c r="U9" s="45"/>
      <c r="W9" s="661"/>
      <c r="X9" s="668"/>
      <c r="Y9" s="32"/>
      <c r="Z9" s="39"/>
      <c r="AA9" s="101"/>
      <c r="AB9" s="45"/>
      <c r="AD9" s="661"/>
      <c r="AE9" s="668"/>
      <c r="AF9" s="32"/>
      <c r="AG9" s="39"/>
      <c r="AH9" s="101"/>
      <c r="AI9" s="45"/>
      <c r="AK9" s="661"/>
      <c r="AL9" s="668"/>
      <c r="AM9" s="32"/>
      <c r="AN9" s="39"/>
      <c r="AO9" s="101"/>
      <c r="AP9" s="45"/>
      <c r="AR9" s="661"/>
      <c r="AS9" s="668"/>
      <c r="AT9" s="32"/>
      <c r="AU9" s="39"/>
      <c r="AV9" s="101"/>
      <c r="AW9" s="45"/>
      <c r="AY9" s="661"/>
      <c r="AZ9" s="668"/>
      <c r="BA9" s="32"/>
      <c r="BB9" s="39"/>
      <c r="BC9" s="101"/>
      <c r="BD9" s="45"/>
      <c r="BF9" s="661"/>
      <c r="BG9" s="668"/>
      <c r="BH9" s="32"/>
      <c r="BI9" s="39"/>
      <c r="BJ9" s="101"/>
      <c r="BK9" s="45"/>
    </row>
    <row r="10" spans="1:63">
      <c r="B10" s="662"/>
      <c r="C10" s="664"/>
      <c r="D10" s="31"/>
      <c r="E10" s="315"/>
      <c r="F10" s="174"/>
      <c r="G10" s="44"/>
      <c r="I10" s="662"/>
      <c r="J10" s="664"/>
      <c r="K10" s="31"/>
      <c r="L10" s="38"/>
      <c r="M10" s="102"/>
      <c r="N10" s="44"/>
      <c r="P10" s="662"/>
      <c r="Q10" s="664"/>
      <c r="R10" s="31"/>
      <c r="S10" s="38"/>
      <c r="T10" s="102"/>
      <c r="U10" s="44"/>
      <c r="W10" s="662"/>
      <c r="X10" s="664"/>
      <c r="Y10" s="31"/>
      <c r="Z10" s="38"/>
      <c r="AA10" s="102"/>
      <c r="AB10" s="44"/>
      <c r="AD10" s="662"/>
      <c r="AE10" s="664"/>
      <c r="AF10" s="31"/>
      <c r="AG10" s="38"/>
      <c r="AH10" s="102"/>
      <c r="AI10" s="44"/>
      <c r="AK10" s="662"/>
      <c r="AL10" s="664"/>
      <c r="AM10" s="31"/>
      <c r="AN10" s="38"/>
      <c r="AO10" s="102"/>
      <c r="AP10" s="44"/>
      <c r="AR10" s="662"/>
      <c r="AS10" s="664"/>
      <c r="AT10" s="31"/>
      <c r="AU10" s="38"/>
      <c r="AV10" s="102"/>
      <c r="AW10" s="44"/>
      <c r="AY10" s="662"/>
      <c r="AZ10" s="664"/>
      <c r="BA10" s="31"/>
      <c r="BB10" s="38"/>
      <c r="BC10" s="102"/>
      <c r="BD10" s="44"/>
      <c r="BF10" s="662"/>
      <c r="BG10" s="664"/>
      <c r="BH10" s="31"/>
      <c r="BI10" s="38"/>
      <c r="BJ10" s="102"/>
      <c r="BK10" s="44"/>
    </row>
    <row r="11" spans="1:63" ht="18.75" customHeight="1">
      <c r="B11" s="667"/>
      <c r="C11" s="668"/>
      <c r="D11" s="32"/>
      <c r="E11" s="316"/>
      <c r="F11" s="173"/>
      <c r="G11" s="45"/>
      <c r="I11" s="667" t="s">
        <v>525</v>
      </c>
      <c r="J11" s="668" t="s">
        <v>526</v>
      </c>
      <c r="K11" s="32" t="s">
        <v>499</v>
      </c>
      <c r="L11" s="39">
        <v>1.3</v>
      </c>
      <c r="M11" s="101" t="s">
        <v>520</v>
      </c>
      <c r="N11" s="45" t="s">
        <v>552</v>
      </c>
      <c r="P11" s="661" t="s">
        <v>567</v>
      </c>
      <c r="Q11" s="663" t="s">
        <v>563</v>
      </c>
      <c r="R11" s="32" t="s">
        <v>499</v>
      </c>
      <c r="S11" s="39"/>
      <c r="T11" s="101"/>
      <c r="U11" s="45"/>
      <c r="W11" s="667"/>
      <c r="X11" s="668"/>
      <c r="Y11" s="32"/>
      <c r="Z11" s="39"/>
      <c r="AA11" s="101"/>
      <c r="AB11" s="45"/>
      <c r="AD11" s="667"/>
      <c r="AE11" s="668"/>
      <c r="AF11" s="32"/>
      <c r="AG11" s="39"/>
      <c r="AH11" s="101"/>
      <c r="AI11" s="45"/>
      <c r="AK11" s="667"/>
      <c r="AL11" s="668"/>
      <c r="AM11" s="32"/>
      <c r="AN11" s="39"/>
      <c r="AO11" s="101"/>
      <c r="AP11" s="45"/>
      <c r="AR11" s="667"/>
      <c r="AS11" s="668"/>
      <c r="AT11" s="32"/>
      <c r="AU11" s="39"/>
      <c r="AV11" s="101"/>
      <c r="AW11" s="45"/>
      <c r="AY11" s="667"/>
      <c r="AZ11" s="668"/>
      <c r="BA11" s="32"/>
      <c r="BB11" s="39"/>
      <c r="BC11" s="101"/>
      <c r="BD11" s="45"/>
      <c r="BF11" s="667"/>
      <c r="BG11" s="668"/>
      <c r="BH11" s="32"/>
      <c r="BI11" s="39"/>
      <c r="BJ11" s="101"/>
      <c r="BK11" s="45"/>
    </row>
    <row r="12" spans="1:63">
      <c r="B12" s="662"/>
      <c r="C12" s="664"/>
      <c r="D12" s="31"/>
      <c r="E12" s="315"/>
      <c r="F12" s="174"/>
      <c r="G12" s="44"/>
      <c r="I12" s="662"/>
      <c r="J12" s="664"/>
      <c r="K12" s="31"/>
      <c r="L12" s="38"/>
      <c r="M12" s="102"/>
      <c r="N12" s="44"/>
      <c r="P12" s="662"/>
      <c r="Q12" s="664"/>
      <c r="R12" s="31"/>
      <c r="S12" s="38"/>
      <c r="T12" s="102"/>
      <c r="U12" s="44"/>
      <c r="W12" s="662"/>
      <c r="X12" s="664"/>
      <c r="Y12" s="31"/>
      <c r="Z12" s="38"/>
      <c r="AA12" s="102"/>
      <c r="AB12" s="44"/>
      <c r="AD12" s="662"/>
      <c r="AE12" s="664"/>
      <c r="AF12" s="31"/>
      <c r="AG12" s="38"/>
      <c r="AH12" s="102"/>
      <c r="AI12" s="44"/>
      <c r="AK12" s="662"/>
      <c r="AL12" s="664"/>
      <c r="AM12" s="31"/>
      <c r="AN12" s="38"/>
      <c r="AO12" s="102"/>
      <c r="AP12" s="44"/>
      <c r="AR12" s="662"/>
      <c r="AS12" s="664"/>
      <c r="AT12" s="31"/>
      <c r="AU12" s="38"/>
      <c r="AV12" s="102"/>
      <c r="AW12" s="44"/>
      <c r="AY12" s="662"/>
      <c r="AZ12" s="664"/>
      <c r="BA12" s="31"/>
      <c r="BB12" s="38"/>
      <c r="BC12" s="102"/>
      <c r="BD12" s="44"/>
      <c r="BF12" s="662"/>
      <c r="BG12" s="664"/>
      <c r="BH12" s="31"/>
      <c r="BI12" s="38"/>
      <c r="BJ12" s="102"/>
      <c r="BK12" s="44"/>
    </row>
    <row r="13" spans="1:63">
      <c r="B13" s="682" t="s">
        <v>279</v>
      </c>
      <c r="C13" s="683" t="s">
        <v>356</v>
      </c>
      <c r="D13" s="32" t="s">
        <v>501</v>
      </c>
      <c r="E13" s="316">
        <v>2.21</v>
      </c>
      <c r="F13" s="173" t="s">
        <v>508</v>
      </c>
      <c r="G13" s="45" t="s">
        <v>506</v>
      </c>
      <c r="I13" s="661" t="s">
        <v>517</v>
      </c>
      <c r="J13" s="668" t="s">
        <v>518</v>
      </c>
      <c r="K13" s="32" t="s">
        <v>499</v>
      </c>
      <c r="L13" s="39">
        <v>1.3</v>
      </c>
      <c r="M13" s="101" t="s">
        <v>520</v>
      </c>
      <c r="N13" s="45"/>
      <c r="P13" s="667" t="s">
        <v>564</v>
      </c>
      <c r="Q13" s="668" t="s">
        <v>565</v>
      </c>
      <c r="R13" s="32" t="s">
        <v>499</v>
      </c>
      <c r="S13" s="39"/>
      <c r="T13" s="101"/>
      <c r="U13" s="45"/>
      <c r="W13" s="667"/>
      <c r="X13" s="668"/>
      <c r="Y13" s="32"/>
      <c r="Z13" s="39"/>
      <c r="AA13" s="101"/>
      <c r="AB13" s="45"/>
      <c r="AD13" s="667"/>
      <c r="AE13" s="668"/>
      <c r="AF13" s="32"/>
      <c r="AG13" s="39"/>
      <c r="AH13" s="101"/>
      <c r="AI13" s="45"/>
      <c r="AK13" s="667"/>
      <c r="AL13" s="668"/>
      <c r="AM13" s="32"/>
      <c r="AN13" s="39"/>
      <c r="AO13" s="101"/>
      <c r="AP13" s="45"/>
      <c r="AR13" s="667"/>
      <c r="AS13" s="668"/>
      <c r="AT13" s="32"/>
      <c r="AU13" s="39"/>
      <c r="AV13" s="101"/>
      <c r="AW13" s="45"/>
      <c r="AY13" s="667"/>
      <c r="AZ13" s="668"/>
      <c r="BA13" s="32"/>
      <c r="BB13" s="39"/>
      <c r="BC13" s="101"/>
      <c r="BD13" s="45"/>
      <c r="BF13" s="667"/>
      <c r="BG13" s="668"/>
      <c r="BH13" s="32"/>
      <c r="BI13" s="39"/>
      <c r="BJ13" s="101"/>
      <c r="BK13" s="45"/>
    </row>
    <row r="14" spans="1:63">
      <c r="B14" s="662"/>
      <c r="C14" s="664"/>
      <c r="D14" s="31"/>
      <c r="E14" s="315"/>
      <c r="F14" s="174"/>
      <c r="G14" s="44"/>
      <c r="I14" s="662"/>
      <c r="J14" s="664"/>
      <c r="K14" s="31"/>
      <c r="L14" s="38"/>
      <c r="M14" s="102"/>
      <c r="N14" s="44"/>
      <c r="P14" s="662"/>
      <c r="Q14" s="664"/>
      <c r="R14" s="31"/>
      <c r="S14" s="38"/>
      <c r="T14" s="102"/>
      <c r="U14" s="44"/>
      <c r="W14" s="662"/>
      <c r="X14" s="664"/>
      <c r="Y14" s="31"/>
      <c r="Z14" s="38"/>
      <c r="AA14" s="102"/>
      <c r="AB14" s="44"/>
      <c r="AD14" s="662"/>
      <c r="AE14" s="664"/>
      <c r="AF14" s="31"/>
      <c r="AG14" s="38"/>
      <c r="AH14" s="102"/>
      <c r="AI14" s="44"/>
      <c r="AK14" s="662"/>
      <c r="AL14" s="664"/>
      <c r="AM14" s="31"/>
      <c r="AN14" s="38"/>
      <c r="AO14" s="102"/>
      <c r="AP14" s="44"/>
      <c r="AR14" s="662"/>
      <c r="AS14" s="664"/>
      <c r="AT14" s="31"/>
      <c r="AU14" s="38"/>
      <c r="AV14" s="102"/>
      <c r="AW14" s="44"/>
      <c r="AY14" s="662"/>
      <c r="AZ14" s="664"/>
      <c r="BA14" s="31"/>
      <c r="BB14" s="38"/>
      <c r="BC14" s="102"/>
      <c r="BD14" s="44"/>
      <c r="BF14" s="662"/>
      <c r="BG14" s="664"/>
      <c r="BH14" s="31"/>
      <c r="BI14" s="38"/>
      <c r="BJ14" s="102"/>
      <c r="BK14" s="44"/>
    </row>
    <row r="15" spans="1:63" ht="18.75" customHeight="1">
      <c r="B15" s="661" t="s">
        <v>281</v>
      </c>
      <c r="C15" s="668" t="s">
        <v>282</v>
      </c>
      <c r="D15" s="32" t="s">
        <v>501</v>
      </c>
      <c r="E15" s="316">
        <v>1.29</v>
      </c>
      <c r="F15" s="173" t="s">
        <v>509</v>
      </c>
      <c r="G15" s="45" t="s">
        <v>506</v>
      </c>
      <c r="I15" s="661" t="s">
        <v>519</v>
      </c>
      <c r="J15" s="663" t="s">
        <v>522</v>
      </c>
      <c r="K15" s="32" t="s">
        <v>523</v>
      </c>
      <c r="L15" s="39">
        <v>0.01</v>
      </c>
      <c r="M15" s="101" t="s">
        <v>524</v>
      </c>
      <c r="N15" s="45"/>
      <c r="P15" s="667" t="s">
        <v>527</v>
      </c>
      <c r="Q15" s="668"/>
      <c r="R15" s="32"/>
      <c r="S15" s="39"/>
      <c r="T15" s="101"/>
      <c r="U15" s="45"/>
      <c r="W15" s="667"/>
      <c r="X15" s="668"/>
      <c r="Y15" s="32"/>
      <c r="Z15" s="39"/>
      <c r="AA15" s="101"/>
      <c r="AB15" s="45"/>
      <c r="AD15" s="667"/>
      <c r="AE15" s="668"/>
      <c r="AF15" s="32"/>
      <c r="AG15" s="39"/>
      <c r="AH15" s="101"/>
      <c r="AI15" s="45"/>
      <c r="AK15" s="667"/>
      <c r="AL15" s="668"/>
      <c r="AM15" s="32"/>
      <c r="AN15" s="39"/>
      <c r="AO15" s="101"/>
      <c r="AP15" s="45"/>
      <c r="AR15" s="667"/>
      <c r="AS15" s="668"/>
      <c r="AT15" s="32"/>
      <c r="AU15" s="39"/>
      <c r="AV15" s="101"/>
      <c r="AW15" s="45"/>
      <c r="AY15" s="667"/>
      <c r="AZ15" s="668"/>
      <c r="BA15" s="32"/>
      <c r="BB15" s="39"/>
      <c r="BC15" s="101"/>
      <c r="BD15" s="45"/>
      <c r="BF15" s="667"/>
      <c r="BG15" s="668"/>
      <c r="BH15" s="32"/>
      <c r="BI15" s="39"/>
      <c r="BJ15" s="101"/>
      <c r="BK15" s="45"/>
    </row>
    <row r="16" spans="1:63">
      <c r="B16" s="662"/>
      <c r="C16" s="664"/>
      <c r="D16" s="31"/>
      <c r="E16" s="315"/>
      <c r="F16" s="174"/>
      <c r="G16" s="44"/>
      <c r="I16" s="662"/>
      <c r="J16" s="664"/>
      <c r="K16" s="31"/>
      <c r="L16" s="38"/>
      <c r="M16" s="102"/>
      <c r="N16" s="44"/>
      <c r="P16" s="662"/>
      <c r="Q16" s="664"/>
      <c r="R16" s="31"/>
      <c r="S16" s="38"/>
      <c r="T16" s="102"/>
      <c r="U16" s="44"/>
      <c r="W16" s="662"/>
      <c r="X16" s="664"/>
      <c r="Y16" s="31"/>
      <c r="Z16" s="38"/>
      <c r="AA16" s="102"/>
      <c r="AB16" s="44"/>
      <c r="AD16" s="662"/>
      <c r="AE16" s="664"/>
      <c r="AF16" s="31"/>
      <c r="AG16" s="38"/>
      <c r="AH16" s="102"/>
      <c r="AI16" s="44"/>
      <c r="AK16" s="662"/>
      <c r="AL16" s="664"/>
      <c r="AM16" s="31"/>
      <c r="AN16" s="38"/>
      <c r="AO16" s="102"/>
      <c r="AP16" s="44"/>
      <c r="AR16" s="662"/>
      <c r="AS16" s="664"/>
      <c r="AT16" s="31"/>
      <c r="AU16" s="38"/>
      <c r="AV16" s="102"/>
      <c r="AW16" s="44"/>
      <c r="AY16" s="662"/>
      <c r="AZ16" s="664"/>
      <c r="BA16" s="31"/>
      <c r="BB16" s="38"/>
      <c r="BC16" s="102"/>
      <c r="BD16" s="44"/>
      <c r="BF16" s="662"/>
      <c r="BG16" s="664"/>
      <c r="BH16" s="31"/>
      <c r="BI16" s="38"/>
      <c r="BJ16" s="102"/>
      <c r="BK16" s="44"/>
    </row>
    <row r="17" spans="2:63" ht="18.75" customHeight="1">
      <c r="B17" s="661" t="s">
        <v>283</v>
      </c>
      <c r="C17" s="668" t="s">
        <v>357</v>
      </c>
      <c r="D17" s="32" t="s">
        <v>501</v>
      </c>
      <c r="E17" s="316">
        <v>0.92</v>
      </c>
      <c r="F17" s="173" t="s">
        <v>510</v>
      </c>
      <c r="G17" s="45" t="s">
        <v>506</v>
      </c>
      <c r="I17" s="682" t="s">
        <v>543</v>
      </c>
      <c r="J17" s="683" t="s">
        <v>544</v>
      </c>
      <c r="K17" s="32" t="s">
        <v>521</v>
      </c>
      <c r="L17" s="39">
        <v>43</v>
      </c>
      <c r="M17" s="101" t="s">
        <v>553</v>
      </c>
      <c r="N17" s="45"/>
      <c r="P17" s="661" t="s">
        <v>558</v>
      </c>
      <c r="Q17" s="668" t="s">
        <v>559</v>
      </c>
      <c r="R17" s="32" t="s">
        <v>499</v>
      </c>
      <c r="S17" s="39"/>
      <c r="T17" s="101"/>
      <c r="U17" s="45" t="s">
        <v>570</v>
      </c>
      <c r="W17" s="661"/>
      <c r="X17" s="668"/>
      <c r="Y17" s="32"/>
      <c r="Z17" s="39"/>
      <c r="AA17" s="101"/>
      <c r="AB17" s="45"/>
      <c r="AD17" s="661"/>
      <c r="AE17" s="668"/>
      <c r="AF17" s="32"/>
      <c r="AG17" s="39"/>
      <c r="AH17" s="101"/>
      <c r="AI17" s="45"/>
      <c r="AK17" s="661"/>
      <c r="AL17" s="668"/>
      <c r="AM17" s="32"/>
      <c r="AN17" s="39"/>
      <c r="AO17" s="101"/>
      <c r="AP17" s="45"/>
      <c r="AR17" s="661"/>
      <c r="AS17" s="668"/>
      <c r="AT17" s="32"/>
      <c r="AU17" s="39"/>
      <c r="AV17" s="101"/>
      <c r="AW17" s="45"/>
      <c r="AY17" s="661"/>
      <c r="AZ17" s="668"/>
      <c r="BA17" s="32"/>
      <c r="BB17" s="39"/>
      <c r="BC17" s="101"/>
      <c r="BD17" s="45"/>
      <c r="BF17" s="661"/>
      <c r="BG17" s="668"/>
      <c r="BH17" s="32"/>
      <c r="BI17" s="39"/>
      <c r="BJ17" s="101"/>
      <c r="BK17" s="45"/>
    </row>
    <row r="18" spans="2:63">
      <c r="B18" s="662"/>
      <c r="C18" s="664"/>
      <c r="D18" s="31"/>
      <c r="E18" s="315"/>
      <c r="F18" s="174"/>
      <c r="G18" s="44"/>
      <c r="I18" s="662"/>
      <c r="J18" s="664"/>
      <c r="K18" s="31"/>
      <c r="L18" s="38"/>
      <c r="M18" s="102"/>
      <c r="N18" s="44"/>
      <c r="P18" s="662"/>
      <c r="Q18" s="664"/>
      <c r="R18" s="31"/>
      <c r="S18" s="38"/>
      <c r="T18" s="102"/>
      <c r="U18" s="44"/>
      <c r="W18" s="662"/>
      <c r="X18" s="664"/>
      <c r="Y18" s="31"/>
      <c r="Z18" s="38"/>
      <c r="AA18" s="102"/>
      <c r="AB18" s="44"/>
      <c r="AD18" s="662"/>
      <c r="AE18" s="664"/>
      <c r="AF18" s="31"/>
      <c r="AG18" s="38"/>
      <c r="AH18" s="102"/>
      <c r="AI18" s="44"/>
      <c r="AK18" s="662"/>
      <c r="AL18" s="664"/>
      <c r="AM18" s="31"/>
      <c r="AN18" s="38"/>
      <c r="AO18" s="102"/>
      <c r="AP18" s="44"/>
      <c r="AR18" s="662"/>
      <c r="AS18" s="664"/>
      <c r="AT18" s="31"/>
      <c r="AU18" s="38"/>
      <c r="AV18" s="102"/>
      <c r="AW18" s="44"/>
      <c r="AY18" s="662"/>
      <c r="AZ18" s="664"/>
      <c r="BA18" s="31"/>
      <c r="BB18" s="38"/>
      <c r="BC18" s="102"/>
      <c r="BD18" s="44"/>
      <c r="BF18" s="662"/>
      <c r="BG18" s="664"/>
      <c r="BH18" s="31"/>
      <c r="BI18" s="38"/>
      <c r="BJ18" s="102"/>
      <c r="BK18" s="44"/>
    </row>
    <row r="19" spans="2:63" ht="18.75" customHeight="1">
      <c r="B19" s="661"/>
      <c r="C19" s="663"/>
      <c r="D19" s="32"/>
      <c r="E19" s="316"/>
      <c r="F19" s="173"/>
      <c r="G19" s="45"/>
      <c r="I19" s="682" t="s">
        <v>527</v>
      </c>
      <c r="J19" s="683"/>
      <c r="K19" s="32"/>
      <c r="L19" s="39"/>
      <c r="M19" s="101"/>
      <c r="N19" s="45"/>
      <c r="P19" s="661" t="s">
        <v>566</v>
      </c>
      <c r="Q19" s="663" t="s">
        <v>563</v>
      </c>
      <c r="R19" s="32" t="s">
        <v>569</v>
      </c>
      <c r="S19" s="39"/>
      <c r="T19" s="101"/>
      <c r="U19" s="45" t="s">
        <v>570</v>
      </c>
      <c r="W19" s="661"/>
      <c r="X19" s="663"/>
      <c r="Y19" s="32"/>
      <c r="Z19" s="39"/>
      <c r="AA19" s="101"/>
      <c r="AB19" s="45"/>
      <c r="AD19" s="661"/>
      <c r="AE19" s="663"/>
      <c r="AF19" s="32"/>
      <c r="AG19" s="39"/>
      <c r="AH19" s="101"/>
      <c r="AI19" s="45"/>
      <c r="AK19" s="661"/>
      <c r="AL19" s="663"/>
      <c r="AM19" s="32"/>
      <c r="AN19" s="39"/>
      <c r="AO19" s="101"/>
      <c r="AP19" s="45"/>
      <c r="AR19" s="661"/>
      <c r="AS19" s="663"/>
      <c r="AT19" s="32"/>
      <c r="AU19" s="39"/>
      <c r="AV19" s="101"/>
      <c r="AW19" s="45"/>
      <c r="AY19" s="661"/>
      <c r="AZ19" s="663"/>
      <c r="BA19" s="32"/>
      <c r="BB19" s="39"/>
      <c r="BC19" s="101"/>
      <c r="BD19" s="45"/>
      <c r="BF19" s="661"/>
      <c r="BG19" s="663"/>
      <c r="BH19" s="32"/>
      <c r="BI19" s="39"/>
      <c r="BJ19" s="101"/>
      <c r="BK19" s="45"/>
    </row>
    <row r="20" spans="2:63">
      <c r="B20" s="662"/>
      <c r="C20" s="664"/>
      <c r="D20" s="31"/>
      <c r="E20" s="315"/>
      <c r="F20" s="174"/>
      <c r="G20" s="44"/>
      <c r="I20" s="662"/>
      <c r="J20" s="664"/>
      <c r="K20" s="31"/>
      <c r="L20" s="38"/>
      <c r="M20" s="102"/>
      <c r="N20" s="44"/>
      <c r="P20" s="662"/>
      <c r="Q20" s="664"/>
      <c r="R20" s="31"/>
      <c r="S20" s="38"/>
      <c r="T20" s="102"/>
      <c r="U20" s="44"/>
      <c r="W20" s="662"/>
      <c r="X20" s="664"/>
      <c r="Y20" s="31"/>
      <c r="Z20" s="38"/>
      <c r="AA20" s="102"/>
      <c r="AB20" s="44"/>
      <c r="AD20" s="662"/>
      <c r="AE20" s="664"/>
      <c r="AF20" s="31"/>
      <c r="AG20" s="38"/>
      <c r="AH20" s="102"/>
      <c r="AI20" s="44"/>
      <c r="AK20" s="662"/>
      <c r="AL20" s="664"/>
      <c r="AM20" s="31"/>
      <c r="AN20" s="38"/>
      <c r="AO20" s="102"/>
      <c r="AP20" s="44"/>
      <c r="AR20" s="662"/>
      <c r="AS20" s="664"/>
      <c r="AT20" s="31"/>
      <c r="AU20" s="38"/>
      <c r="AV20" s="102"/>
      <c r="AW20" s="44"/>
      <c r="AY20" s="662"/>
      <c r="AZ20" s="664"/>
      <c r="BA20" s="31"/>
      <c r="BB20" s="38"/>
      <c r="BC20" s="102"/>
      <c r="BD20" s="44"/>
      <c r="BF20" s="662"/>
      <c r="BG20" s="664"/>
      <c r="BH20" s="31"/>
      <c r="BI20" s="38"/>
      <c r="BJ20" s="102"/>
      <c r="BK20" s="44"/>
    </row>
    <row r="21" spans="2:63" ht="18.75" customHeight="1">
      <c r="B21" s="661" t="s">
        <v>353</v>
      </c>
      <c r="C21" s="668" t="s">
        <v>549</v>
      </c>
      <c r="D21" s="32" t="s">
        <v>500</v>
      </c>
      <c r="E21" s="316">
        <v>2.11</v>
      </c>
      <c r="F21" s="173" t="s">
        <v>505</v>
      </c>
      <c r="G21" s="45" t="s">
        <v>506</v>
      </c>
      <c r="I21" s="661" t="s">
        <v>522</v>
      </c>
      <c r="J21" s="668" t="s">
        <v>528</v>
      </c>
      <c r="K21" s="32" t="s">
        <v>529</v>
      </c>
      <c r="L21" s="39">
        <v>0.44</v>
      </c>
      <c r="M21" s="101" t="s">
        <v>530</v>
      </c>
      <c r="N21" s="45"/>
      <c r="P21" s="661" t="s">
        <v>568</v>
      </c>
      <c r="Q21" s="663" t="s">
        <v>565</v>
      </c>
      <c r="R21" s="32" t="s">
        <v>499</v>
      </c>
      <c r="S21" s="39"/>
      <c r="T21" s="101"/>
      <c r="U21" s="45"/>
      <c r="W21" s="661"/>
      <c r="X21" s="663"/>
      <c r="Y21" s="32"/>
      <c r="Z21" s="39"/>
      <c r="AA21" s="101"/>
      <c r="AB21" s="45"/>
      <c r="AD21" s="661"/>
      <c r="AE21" s="663"/>
      <c r="AF21" s="32"/>
      <c r="AG21" s="39"/>
      <c r="AH21" s="101"/>
      <c r="AI21" s="45"/>
      <c r="AK21" s="661"/>
      <c r="AL21" s="663"/>
      <c r="AM21" s="32"/>
      <c r="AN21" s="39"/>
      <c r="AO21" s="101"/>
      <c r="AP21" s="45"/>
      <c r="AR21" s="661"/>
      <c r="AS21" s="663"/>
      <c r="AT21" s="32"/>
      <c r="AU21" s="39"/>
      <c r="AV21" s="101"/>
      <c r="AW21" s="45"/>
      <c r="AY21" s="661"/>
      <c r="AZ21" s="663"/>
      <c r="BA21" s="32"/>
      <c r="BB21" s="39"/>
      <c r="BC21" s="101"/>
      <c r="BD21" s="45"/>
      <c r="BF21" s="661"/>
      <c r="BG21" s="663"/>
      <c r="BH21" s="32"/>
      <c r="BI21" s="39"/>
      <c r="BJ21" s="101"/>
      <c r="BK21" s="45"/>
    </row>
    <row r="22" spans="2:63">
      <c r="B22" s="662"/>
      <c r="C22" s="664"/>
      <c r="D22" s="31"/>
      <c r="E22" s="315"/>
      <c r="F22" s="174"/>
      <c r="G22" s="44"/>
      <c r="I22" s="662"/>
      <c r="J22" s="670"/>
      <c r="K22" s="31"/>
      <c r="L22" s="38"/>
      <c r="M22" s="102"/>
      <c r="N22" s="44"/>
      <c r="P22" s="662"/>
      <c r="Q22" s="664"/>
      <c r="R22" s="31"/>
      <c r="S22" s="38"/>
      <c r="T22" s="102"/>
      <c r="U22" s="44"/>
      <c r="W22" s="662"/>
      <c r="X22" s="664"/>
      <c r="Y22" s="31"/>
      <c r="Z22" s="38"/>
      <c r="AA22" s="102"/>
      <c r="AB22" s="44"/>
      <c r="AD22" s="662"/>
      <c r="AE22" s="664"/>
      <c r="AF22" s="31"/>
      <c r="AG22" s="38"/>
      <c r="AH22" s="102"/>
      <c r="AI22" s="44"/>
      <c r="AK22" s="662"/>
      <c r="AL22" s="664"/>
      <c r="AM22" s="31"/>
      <c r="AN22" s="38"/>
      <c r="AO22" s="102"/>
      <c r="AP22" s="44"/>
      <c r="AR22" s="662"/>
      <c r="AS22" s="664"/>
      <c r="AT22" s="31"/>
      <c r="AU22" s="38"/>
      <c r="AV22" s="102"/>
      <c r="AW22" s="44"/>
      <c r="AY22" s="662"/>
      <c r="AZ22" s="664"/>
      <c r="BA22" s="31"/>
      <c r="BB22" s="38"/>
      <c r="BC22" s="102"/>
      <c r="BD22" s="44"/>
      <c r="BF22" s="662"/>
      <c r="BG22" s="664"/>
      <c r="BH22" s="31"/>
      <c r="BI22" s="38"/>
      <c r="BJ22" s="102"/>
      <c r="BK22" s="44"/>
    </row>
    <row r="23" spans="2:63">
      <c r="B23" s="661" t="s">
        <v>354</v>
      </c>
      <c r="C23" s="668" t="s">
        <v>550</v>
      </c>
      <c r="D23" s="32" t="s">
        <v>502</v>
      </c>
      <c r="E23" s="316">
        <v>2.08</v>
      </c>
      <c r="F23" s="173" t="s">
        <v>511</v>
      </c>
      <c r="G23" s="45" t="s">
        <v>506</v>
      </c>
      <c r="I23" s="661" t="s">
        <v>522</v>
      </c>
      <c r="J23" s="668" t="s">
        <v>531</v>
      </c>
      <c r="K23" s="32" t="s">
        <v>529</v>
      </c>
      <c r="L23" s="39">
        <v>0.18</v>
      </c>
      <c r="M23" s="101" t="s">
        <v>532</v>
      </c>
      <c r="N23" s="45"/>
      <c r="P23" s="661"/>
      <c r="Q23" s="663"/>
      <c r="R23" s="32"/>
      <c r="S23" s="39"/>
      <c r="T23" s="101"/>
      <c r="U23" s="45"/>
      <c r="W23" s="661"/>
      <c r="X23" s="663"/>
      <c r="Y23" s="32"/>
      <c r="Z23" s="39"/>
      <c r="AA23" s="101"/>
      <c r="AB23" s="45"/>
      <c r="AD23" s="661"/>
      <c r="AE23" s="663"/>
      <c r="AF23" s="32"/>
      <c r="AG23" s="39"/>
      <c r="AH23" s="101"/>
      <c r="AI23" s="45"/>
      <c r="AK23" s="661"/>
      <c r="AL23" s="663"/>
      <c r="AM23" s="32"/>
      <c r="AN23" s="39"/>
      <c r="AO23" s="101"/>
      <c r="AP23" s="45"/>
      <c r="AR23" s="661"/>
      <c r="AS23" s="663"/>
      <c r="AT23" s="32"/>
      <c r="AU23" s="39"/>
      <c r="AV23" s="101"/>
      <c r="AW23" s="45"/>
      <c r="AY23" s="661"/>
      <c r="AZ23" s="663"/>
      <c r="BA23" s="32"/>
      <c r="BB23" s="39"/>
      <c r="BC23" s="101"/>
      <c r="BD23" s="45"/>
      <c r="BF23" s="661"/>
      <c r="BG23" s="663"/>
      <c r="BH23" s="32"/>
      <c r="BI23" s="39"/>
      <c r="BJ23" s="101"/>
      <c r="BK23" s="45"/>
    </row>
    <row r="24" spans="2:63">
      <c r="B24" s="662"/>
      <c r="C24" s="664"/>
      <c r="D24" s="31"/>
      <c r="E24" s="315"/>
      <c r="F24" s="174"/>
      <c r="G24" s="44"/>
      <c r="I24" s="662"/>
      <c r="J24" s="670"/>
      <c r="K24" s="31"/>
      <c r="L24" s="38"/>
      <c r="M24" s="102"/>
      <c r="N24" s="44"/>
      <c r="P24" s="662"/>
      <c r="Q24" s="664"/>
      <c r="R24" s="31"/>
      <c r="S24" s="38"/>
      <c r="T24" s="102"/>
      <c r="U24" s="44"/>
      <c r="W24" s="662"/>
      <c r="X24" s="664"/>
      <c r="Y24" s="31"/>
      <c r="Z24" s="38"/>
      <c r="AA24" s="102"/>
      <c r="AB24" s="44"/>
      <c r="AD24" s="662"/>
      <c r="AE24" s="664"/>
      <c r="AF24" s="31"/>
      <c r="AG24" s="38"/>
      <c r="AH24" s="102"/>
      <c r="AI24" s="44"/>
      <c r="AK24" s="662"/>
      <c r="AL24" s="664"/>
      <c r="AM24" s="31"/>
      <c r="AN24" s="38"/>
      <c r="AO24" s="102"/>
      <c r="AP24" s="44"/>
      <c r="AR24" s="662"/>
      <c r="AS24" s="664"/>
      <c r="AT24" s="31"/>
      <c r="AU24" s="38"/>
      <c r="AV24" s="102"/>
      <c r="AW24" s="44"/>
      <c r="AY24" s="662"/>
      <c r="AZ24" s="664"/>
      <c r="BA24" s="31"/>
      <c r="BB24" s="38"/>
      <c r="BC24" s="102"/>
      <c r="BD24" s="44"/>
      <c r="BF24" s="662"/>
      <c r="BG24" s="664"/>
      <c r="BH24" s="31"/>
      <c r="BI24" s="38"/>
      <c r="BJ24" s="102"/>
      <c r="BK24" s="44"/>
    </row>
    <row r="25" spans="2:63">
      <c r="B25" s="661" t="s">
        <v>355</v>
      </c>
      <c r="C25" s="668" t="s">
        <v>551</v>
      </c>
      <c r="D25" s="32" t="s">
        <v>500</v>
      </c>
      <c r="E25" s="316">
        <v>2</v>
      </c>
      <c r="F25" s="173" t="s">
        <v>512</v>
      </c>
      <c r="G25" s="45" t="s">
        <v>506</v>
      </c>
      <c r="I25" s="661" t="s">
        <v>533</v>
      </c>
      <c r="J25" s="663" t="s">
        <v>534</v>
      </c>
      <c r="K25" s="32" t="s">
        <v>535</v>
      </c>
      <c r="L25" s="39">
        <v>1</v>
      </c>
      <c r="M25" s="101" t="s">
        <v>536</v>
      </c>
      <c r="N25" s="45"/>
      <c r="P25" s="661"/>
      <c r="Q25" s="663"/>
      <c r="R25" s="32"/>
      <c r="S25" s="39"/>
      <c r="T25" s="101"/>
      <c r="U25" s="45"/>
      <c r="W25" s="661"/>
      <c r="X25" s="663"/>
      <c r="Y25" s="32"/>
      <c r="Z25" s="39"/>
      <c r="AA25" s="101"/>
      <c r="AB25" s="45"/>
      <c r="AD25" s="661"/>
      <c r="AE25" s="663"/>
      <c r="AF25" s="32"/>
      <c r="AG25" s="39"/>
      <c r="AH25" s="101"/>
      <c r="AI25" s="45"/>
      <c r="AK25" s="661"/>
      <c r="AL25" s="663"/>
      <c r="AM25" s="32"/>
      <c r="AN25" s="39"/>
      <c r="AO25" s="101"/>
      <c r="AP25" s="45"/>
      <c r="AR25" s="661"/>
      <c r="AS25" s="663"/>
      <c r="AT25" s="32"/>
      <c r="AU25" s="39"/>
      <c r="AV25" s="101"/>
      <c r="AW25" s="45"/>
      <c r="AY25" s="661"/>
      <c r="AZ25" s="663"/>
      <c r="BA25" s="32"/>
      <c r="BB25" s="39"/>
      <c r="BC25" s="101"/>
      <c r="BD25" s="45"/>
      <c r="BF25" s="661"/>
      <c r="BG25" s="663"/>
      <c r="BH25" s="32"/>
      <c r="BI25" s="39"/>
      <c r="BJ25" s="101"/>
      <c r="BK25" s="45"/>
    </row>
    <row r="26" spans="2:63">
      <c r="B26" s="662"/>
      <c r="C26" s="664"/>
      <c r="D26" s="31"/>
      <c r="E26" s="315"/>
      <c r="F26" s="174"/>
      <c r="G26" s="44"/>
      <c r="I26" s="662"/>
      <c r="J26" s="664"/>
      <c r="K26" s="31"/>
      <c r="L26" s="38"/>
      <c r="M26" s="102"/>
      <c r="N26" s="44"/>
      <c r="P26" s="662"/>
      <c r="Q26" s="664"/>
      <c r="R26" s="31"/>
      <c r="S26" s="38"/>
      <c r="T26" s="102"/>
      <c r="U26" s="44"/>
      <c r="W26" s="662"/>
      <c r="X26" s="664"/>
      <c r="Y26" s="31"/>
      <c r="Z26" s="38"/>
      <c r="AA26" s="102"/>
      <c r="AB26" s="44"/>
      <c r="AD26" s="662"/>
      <c r="AE26" s="664"/>
      <c r="AF26" s="31"/>
      <c r="AG26" s="38"/>
      <c r="AH26" s="102"/>
      <c r="AI26" s="44"/>
      <c r="AK26" s="662"/>
      <c r="AL26" s="664"/>
      <c r="AM26" s="31"/>
      <c r="AN26" s="38"/>
      <c r="AO26" s="102"/>
      <c r="AP26" s="44"/>
      <c r="AR26" s="662"/>
      <c r="AS26" s="664"/>
      <c r="AT26" s="31"/>
      <c r="AU26" s="38"/>
      <c r="AV26" s="102"/>
      <c r="AW26" s="44"/>
      <c r="AY26" s="662"/>
      <c r="AZ26" s="664"/>
      <c r="BA26" s="31"/>
      <c r="BB26" s="38"/>
      <c r="BC26" s="102"/>
      <c r="BD26" s="44"/>
      <c r="BF26" s="662"/>
      <c r="BG26" s="664"/>
      <c r="BH26" s="31"/>
      <c r="BI26" s="38"/>
      <c r="BJ26" s="102"/>
      <c r="BK26" s="44"/>
    </row>
    <row r="27" spans="2:63">
      <c r="B27" s="661"/>
      <c r="C27" s="663"/>
      <c r="D27" s="32"/>
      <c r="E27" s="316"/>
      <c r="F27" s="173"/>
      <c r="G27" s="45"/>
      <c r="I27" s="661" t="s">
        <v>537</v>
      </c>
      <c r="J27" s="668" t="s">
        <v>538</v>
      </c>
      <c r="K27" s="32" t="s">
        <v>535</v>
      </c>
      <c r="L27" s="39">
        <v>1</v>
      </c>
      <c r="M27" s="101" t="s">
        <v>516</v>
      </c>
      <c r="N27" s="45"/>
      <c r="P27" s="661"/>
      <c r="Q27" s="663"/>
      <c r="R27" s="32"/>
      <c r="S27" s="39"/>
      <c r="T27" s="101"/>
      <c r="U27" s="45"/>
      <c r="W27" s="661"/>
      <c r="X27" s="663"/>
      <c r="Y27" s="32"/>
      <c r="Z27" s="39"/>
      <c r="AA27" s="101"/>
      <c r="AB27" s="45"/>
      <c r="AD27" s="661"/>
      <c r="AE27" s="663"/>
      <c r="AF27" s="32"/>
      <c r="AG27" s="39"/>
      <c r="AH27" s="101"/>
      <c r="AI27" s="45"/>
      <c r="AK27" s="661"/>
      <c r="AL27" s="663"/>
      <c r="AM27" s="32"/>
      <c r="AN27" s="39"/>
      <c r="AO27" s="101"/>
      <c r="AP27" s="45"/>
      <c r="AR27" s="661"/>
      <c r="AS27" s="663"/>
      <c r="AT27" s="32"/>
      <c r="AU27" s="39"/>
      <c r="AV27" s="101"/>
      <c r="AW27" s="45"/>
      <c r="AY27" s="661"/>
      <c r="AZ27" s="663"/>
      <c r="BA27" s="32"/>
      <c r="BB27" s="39"/>
      <c r="BC27" s="101"/>
      <c r="BD27" s="45"/>
      <c r="BF27" s="661"/>
      <c r="BG27" s="663"/>
      <c r="BH27" s="32"/>
      <c r="BI27" s="39"/>
      <c r="BJ27" s="101"/>
      <c r="BK27" s="45"/>
    </row>
    <row r="28" spans="2:63">
      <c r="B28" s="662"/>
      <c r="C28" s="664"/>
      <c r="D28" s="31"/>
      <c r="E28" s="315"/>
      <c r="F28" s="174"/>
      <c r="G28" s="44"/>
      <c r="I28" s="662"/>
      <c r="J28" s="670"/>
      <c r="K28" s="31"/>
      <c r="L28" s="38"/>
      <c r="M28" s="102"/>
      <c r="N28" s="44"/>
      <c r="P28" s="662"/>
      <c r="Q28" s="664"/>
      <c r="R28" s="31"/>
      <c r="S28" s="38"/>
      <c r="T28" s="102"/>
      <c r="U28" s="44"/>
      <c r="W28" s="662"/>
      <c r="X28" s="664"/>
      <c r="Y28" s="31"/>
      <c r="Z28" s="38"/>
      <c r="AA28" s="102"/>
      <c r="AB28" s="44"/>
      <c r="AD28" s="662"/>
      <c r="AE28" s="664"/>
      <c r="AF28" s="31"/>
      <c r="AG28" s="38"/>
      <c r="AH28" s="102"/>
      <c r="AI28" s="44"/>
      <c r="AK28" s="662"/>
      <c r="AL28" s="664"/>
      <c r="AM28" s="31"/>
      <c r="AN28" s="38"/>
      <c r="AO28" s="102"/>
      <c r="AP28" s="44"/>
      <c r="AR28" s="662"/>
      <c r="AS28" s="664"/>
      <c r="AT28" s="31"/>
      <c r="AU28" s="38"/>
      <c r="AV28" s="102"/>
      <c r="AW28" s="44"/>
      <c r="AY28" s="662"/>
      <c r="AZ28" s="664"/>
      <c r="BA28" s="31"/>
      <c r="BB28" s="38"/>
      <c r="BC28" s="102"/>
      <c r="BD28" s="44"/>
      <c r="BF28" s="662"/>
      <c r="BG28" s="664"/>
      <c r="BH28" s="31"/>
      <c r="BI28" s="38"/>
      <c r="BJ28" s="102"/>
      <c r="BK28" s="44"/>
    </row>
    <row r="29" spans="2:63">
      <c r="B29" s="661"/>
      <c r="C29" s="663"/>
      <c r="D29" s="32"/>
      <c r="E29" s="316"/>
      <c r="F29" s="173"/>
      <c r="G29" s="45"/>
      <c r="I29" s="661" t="s">
        <v>539</v>
      </c>
      <c r="J29" s="663" t="s">
        <v>540</v>
      </c>
      <c r="K29" s="32" t="s">
        <v>535</v>
      </c>
      <c r="L29" s="39">
        <v>1</v>
      </c>
      <c r="M29" s="101" t="s">
        <v>516</v>
      </c>
      <c r="N29" s="45"/>
      <c r="P29" s="661"/>
      <c r="Q29" s="663"/>
      <c r="R29" s="32"/>
      <c r="S29" s="39"/>
      <c r="T29" s="101"/>
      <c r="U29" s="45"/>
      <c r="W29" s="661"/>
      <c r="X29" s="663"/>
      <c r="Y29" s="32"/>
      <c r="Z29" s="39"/>
      <c r="AA29" s="101"/>
      <c r="AB29" s="45"/>
      <c r="AD29" s="661"/>
      <c r="AE29" s="663"/>
      <c r="AF29" s="32"/>
      <c r="AG29" s="39"/>
      <c r="AH29" s="101"/>
      <c r="AI29" s="45"/>
      <c r="AK29" s="661"/>
      <c r="AL29" s="663"/>
      <c r="AM29" s="32"/>
      <c r="AN29" s="39"/>
      <c r="AO29" s="101"/>
      <c r="AP29" s="45"/>
      <c r="AR29" s="661"/>
      <c r="AS29" s="663"/>
      <c r="AT29" s="32"/>
      <c r="AU29" s="39"/>
      <c r="AV29" s="101"/>
      <c r="AW29" s="45"/>
      <c r="AY29" s="661"/>
      <c r="AZ29" s="663"/>
      <c r="BA29" s="32"/>
      <c r="BB29" s="39"/>
      <c r="BC29" s="101"/>
      <c r="BD29" s="45"/>
      <c r="BF29" s="661"/>
      <c r="BG29" s="663"/>
      <c r="BH29" s="32"/>
      <c r="BI29" s="39"/>
      <c r="BJ29" s="101"/>
      <c r="BK29" s="45"/>
    </row>
    <row r="30" spans="2:63">
      <c r="B30" s="662"/>
      <c r="C30" s="664"/>
      <c r="D30" s="31"/>
      <c r="E30" s="315"/>
      <c r="F30" s="174"/>
      <c r="G30" s="44"/>
      <c r="I30" s="662"/>
      <c r="J30" s="664"/>
      <c r="K30" s="31"/>
      <c r="L30" s="38"/>
      <c r="M30" s="102"/>
      <c r="N30" s="44"/>
      <c r="P30" s="662"/>
      <c r="Q30" s="664"/>
      <c r="R30" s="31"/>
      <c r="S30" s="38"/>
      <c r="T30" s="102"/>
      <c r="U30" s="44"/>
      <c r="W30" s="662"/>
      <c r="X30" s="664"/>
      <c r="Y30" s="31"/>
      <c r="Z30" s="38"/>
      <c r="AA30" s="102"/>
      <c r="AB30" s="44"/>
      <c r="AD30" s="662"/>
      <c r="AE30" s="664"/>
      <c r="AF30" s="31"/>
      <c r="AG30" s="38"/>
      <c r="AH30" s="102"/>
      <c r="AI30" s="44"/>
      <c r="AK30" s="662"/>
      <c r="AL30" s="664"/>
      <c r="AM30" s="31"/>
      <c r="AN30" s="38"/>
      <c r="AO30" s="102"/>
      <c r="AP30" s="44"/>
      <c r="AR30" s="662"/>
      <c r="AS30" s="664"/>
      <c r="AT30" s="31"/>
      <c r="AU30" s="38"/>
      <c r="AV30" s="102"/>
      <c r="AW30" s="44"/>
      <c r="AY30" s="662"/>
      <c r="AZ30" s="664"/>
      <c r="BA30" s="31"/>
      <c r="BB30" s="38"/>
      <c r="BC30" s="102"/>
      <c r="BD30" s="44"/>
      <c r="BF30" s="662"/>
      <c r="BG30" s="664"/>
      <c r="BH30" s="31"/>
      <c r="BI30" s="38"/>
      <c r="BJ30" s="102"/>
      <c r="BK30" s="44"/>
    </row>
    <row r="31" spans="2:63">
      <c r="B31" s="661"/>
      <c r="C31" s="663"/>
      <c r="D31" s="32"/>
      <c r="E31" s="316"/>
      <c r="F31" s="173"/>
      <c r="G31" s="45"/>
      <c r="I31" s="661" t="s">
        <v>541</v>
      </c>
      <c r="J31" s="663" t="s">
        <v>542</v>
      </c>
      <c r="K31" s="32" t="s">
        <v>535</v>
      </c>
      <c r="L31" s="39">
        <v>1</v>
      </c>
      <c r="M31" s="101"/>
      <c r="N31" s="45"/>
      <c r="P31" s="661"/>
      <c r="Q31" s="663"/>
      <c r="R31" s="32"/>
      <c r="S31" s="39"/>
      <c r="T31" s="101"/>
      <c r="U31" s="45"/>
      <c r="W31" s="661"/>
      <c r="X31" s="663"/>
      <c r="Y31" s="32"/>
      <c r="Z31" s="39"/>
      <c r="AA31" s="101"/>
      <c r="AB31" s="45"/>
      <c r="AD31" s="661"/>
      <c r="AE31" s="663"/>
      <c r="AF31" s="32"/>
      <c r="AG31" s="39"/>
      <c r="AH31" s="101"/>
      <c r="AI31" s="45"/>
      <c r="AK31" s="661"/>
      <c r="AL31" s="663"/>
      <c r="AM31" s="32"/>
      <c r="AN31" s="39"/>
      <c r="AO31" s="101"/>
      <c r="AP31" s="45"/>
      <c r="AR31" s="661"/>
      <c r="AS31" s="663"/>
      <c r="AT31" s="32"/>
      <c r="AU31" s="39"/>
      <c r="AV31" s="101"/>
      <c r="AW31" s="45"/>
      <c r="AY31" s="661"/>
      <c r="AZ31" s="663"/>
      <c r="BA31" s="32"/>
      <c r="BB31" s="39"/>
      <c r="BC31" s="101"/>
      <c r="BD31" s="45"/>
      <c r="BF31" s="661"/>
      <c r="BG31" s="663"/>
      <c r="BH31" s="32"/>
      <c r="BI31" s="39"/>
      <c r="BJ31" s="101"/>
      <c r="BK31" s="45"/>
    </row>
    <row r="32" spans="2:63">
      <c r="B32" s="662"/>
      <c r="C32" s="664"/>
      <c r="D32" s="31"/>
      <c r="E32" s="315"/>
      <c r="F32" s="174"/>
      <c r="G32" s="44"/>
      <c r="I32" s="662"/>
      <c r="J32" s="664"/>
      <c r="K32" s="31"/>
      <c r="L32" s="38"/>
      <c r="M32" s="102"/>
      <c r="N32" s="44"/>
      <c r="P32" s="662"/>
      <c r="Q32" s="664"/>
      <c r="R32" s="31"/>
      <c r="S32" s="38"/>
      <c r="T32" s="102"/>
      <c r="U32" s="44"/>
      <c r="W32" s="662"/>
      <c r="X32" s="664"/>
      <c r="Y32" s="31"/>
      <c r="Z32" s="38"/>
      <c r="AA32" s="102"/>
      <c r="AB32" s="44"/>
      <c r="AD32" s="662"/>
      <c r="AE32" s="664"/>
      <c r="AF32" s="31"/>
      <c r="AG32" s="38"/>
      <c r="AH32" s="102"/>
      <c r="AI32" s="44"/>
      <c r="AK32" s="662"/>
      <c r="AL32" s="664"/>
      <c r="AM32" s="31"/>
      <c r="AN32" s="38"/>
      <c r="AO32" s="102"/>
      <c r="AP32" s="44"/>
      <c r="AR32" s="662"/>
      <c r="AS32" s="664"/>
      <c r="AT32" s="31"/>
      <c r="AU32" s="38"/>
      <c r="AV32" s="102"/>
      <c r="AW32" s="44"/>
      <c r="AY32" s="662"/>
      <c r="AZ32" s="664"/>
      <c r="BA32" s="31"/>
      <c r="BB32" s="38"/>
      <c r="BC32" s="102"/>
      <c r="BD32" s="44"/>
      <c r="BF32" s="662"/>
      <c r="BG32" s="664"/>
      <c r="BH32" s="31"/>
      <c r="BI32" s="38"/>
      <c r="BJ32" s="102"/>
      <c r="BK32" s="44"/>
    </row>
    <row r="33" spans="2:63">
      <c r="B33" s="661"/>
      <c r="C33" s="663"/>
      <c r="D33" s="32"/>
      <c r="E33" s="316"/>
      <c r="F33" s="173"/>
      <c r="G33" s="45"/>
      <c r="I33" s="661"/>
      <c r="J33" s="663"/>
      <c r="K33" s="32"/>
      <c r="L33" s="39"/>
      <c r="M33" s="101"/>
      <c r="N33" s="45"/>
      <c r="P33" s="661"/>
      <c r="Q33" s="663"/>
      <c r="R33" s="32"/>
      <c r="S33" s="39"/>
      <c r="T33" s="101"/>
      <c r="U33" s="45"/>
      <c r="W33" s="661"/>
      <c r="X33" s="663"/>
      <c r="Y33" s="32"/>
      <c r="Z33" s="39"/>
      <c r="AA33" s="101"/>
      <c r="AB33" s="45"/>
      <c r="AD33" s="661"/>
      <c r="AE33" s="663"/>
      <c r="AF33" s="32"/>
      <c r="AG33" s="39"/>
      <c r="AH33" s="101"/>
      <c r="AI33" s="45"/>
      <c r="AK33" s="661"/>
      <c r="AL33" s="663"/>
      <c r="AM33" s="32"/>
      <c r="AN33" s="39"/>
      <c r="AO33" s="101"/>
      <c r="AP33" s="45"/>
      <c r="AR33" s="661"/>
      <c r="AS33" s="663"/>
      <c r="AT33" s="32"/>
      <c r="AU33" s="39"/>
      <c r="AV33" s="101"/>
      <c r="AW33" s="45"/>
      <c r="AY33" s="661"/>
      <c r="AZ33" s="663"/>
      <c r="BA33" s="32"/>
      <c r="BB33" s="39"/>
      <c r="BC33" s="101"/>
      <c r="BD33" s="45"/>
      <c r="BF33" s="661"/>
      <c r="BG33" s="663"/>
      <c r="BH33" s="32"/>
      <c r="BI33" s="39"/>
      <c r="BJ33" s="101"/>
      <c r="BK33" s="45"/>
    </row>
    <row r="34" spans="2:63">
      <c r="B34" s="662"/>
      <c r="C34" s="664"/>
      <c r="D34" s="31"/>
      <c r="E34" s="315"/>
      <c r="F34" s="174"/>
      <c r="G34" s="44"/>
      <c r="I34" s="662"/>
      <c r="J34" s="664"/>
      <c r="K34" s="31"/>
      <c r="L34" s="38"/>
      <c r="M34" s="102"/>
      <c r="N34" s="44"/>
      <c r="P34" s="662"/>
      <c r="Q34" s="664"/>
      <c r="R34" s="31"/>
      <c r="S34" s="38"/>
      <c r="T34" s="102"/>
      <c r="U34" s="44"/>
      <c r="W34" s="662"/>
      <c r="X34" s="664"/>
      <c r="Y34" s="31"/>
      <c r="Z34" s="38"/>
      <c r="AA34" s="102"/>
      <c r="AB34" s="44"/>
      <c r="AD34" s="662"/>
      <c r="AE34" s="664"/>
      <c r="AF34" s="31"/>
      <c r="AG34" s="38"/>
      <c r="AH34" s="102"/>
      <c r="AI34" s="44"/>
      <c r="AK34" s="662"/>
      <c r="AL34" s="664"/>
      <c r="AM34" s="31"/>
      <c r="AN34" s="38"/>
      <c r="AO34" s="102"/>
      <c r="AP34" s="44"/>
      <c r="AR34" s="662"/>
      <c r="AS34" s="664"/>
      <c r="AT34" s="31"/>
      <c r="AU34" s="38"/>
      <c r="AV34" s="102"/>
      <c r="AW34" s="44"/>
      <c r="AY34" s="662"/>
      <c r="AZ34" s="664"/>
      <c r="BA34" s="31"/>
      <c r="BB34" s="38"/>
      <c r="BC34" s="102"/>
      <c r="BD34" s="44"/>
      <c r="BF34" s="662"/>
      <c r="BG34" s="664"/>
      <c r="BH34" s="31"/>
      <c r="BI34" s="38"/>
      <c r="BJ34" s="102"/>
      <c r="BK34" s="44"/>
    </row>
    <row r="35" spans="2:63">
      <c r="B35" s="716"/>
      <c r="C35" s="717"/>
      <c r="D35" s="93"/>
      <c r="E35" s="61"/>
      <c r="F35" s="61"/>
      <c r="G35" s="94"/>
      <c r="I35" s="716"/>
      <c r="J35" s="717"/>
      <c r="K35" s="93"/>
      <c r="L35" s="61"/>
      <c r="M35" s="61"/>
      <c r="N35" s="94"/>
      <c r="P35" s="716"/>
      <c r="Q35" s="717"/>
      <c r="R35" s="93"/>
      <c r="S35" s="61"/>
      <c r="T35" s="61"/>
      <c r="U35" s="94"/>
      <c r="W35" s="716"/>
      <c r="X35" s="717"/>
      <c r="Y35" s="93"/>
      <c r="Z35" s="61"/>
      <c r="AA35" s="61"/>
      <c r="AB35" s="94"/>
      <c r="AD35" s="716"/>
      <c r="AE35" s="717"/>
      <c r="AF35" s="93"/>
      <c r="AG35" s="61"/>
      <c r="AH35" s="61"/>
      <c r="AI35" s="94"/>
      <c r="AK35" s="716"/>
      <c r="AL35" s="717"/>
      <c r="AM35" s="93"/>
      <c r="AN35" s="61"/>
      <c r="AO35" s="61"/>
      <c r="AP35" s="94"/>
      <c r="AR35" s="716"/>
      <c r="AS35" s="717"/>
      <c r="AT35" s="93"/>
      <c r="AU35" s="61"/>
      <c r="AV35" s="61"/>
      <c r="AW35" s="94"/>
      <c r="AY35" s="716"/>
      <c r="AZ35" s="717"/>
      <c r="BA35" s="93"/>
      <c r="BB35" s="61"/>
      <c r="BC35" s="61"/>
      <c r="BD35" s="94"/>
      <c r="BF35" s="716"/>
      <c r="BG35" s="717"/>
      <c r="BH35" s="93"/>
      <c r="BI35" s="61"/>
      <c r="BJ35" s="61"/>
      <c r="BK35" s="94"/>
    </row>
    <row r="36" spans="2:63">
      <c r="B36" s="711"/>
      <c r="C36" s="713"/>
      <c r="D36" s="95"/>
      <c r="E36" s="62"/>
      <c r="F36" s="62"/>
      <c r="G36" s="96"/>
      <c r="I36" s="711"/>
      <c r="J36" s="713"/>
      <c r="K36" s="95"/>
      <c r="L36" s="62"/>
      <c r="M36" s="62"/>
      <c r="N36" s="96"/>
      <c r="P36" s="711"/>
      <c r="Q36" s="713"/>
      <c r="R36" s="95"/>
      <c r="S36" s="62"/>
      <c r="T36" s="62"/>
      <c r="U36" s="96"/>
      <c r="W36" s="711"/>
      <c r="X36" s="713"/>
      <c r="Y36" s="95"/>
      <c r="Z36" s="62"/>
      <c r="AA36" s="62"/>
      <c r="AB36" s="96"/>
      <c r="AD36" s="711"/>
      <c r="AE36" s="713"/>
      <c r="AF36" s="95"/>
      <c r="AG36" s="62"/>
      <c r="AH36" s="62"/>
      <c r="AI36" s="96"/>
      <c r="AK36" s="711"/>
      <c r="AL36" s="713"/>
      <c r="AM36" s="95"/>
      <c r="AN36" s="62"/>
      <c r="AO36" s="62"/>
      <c r="AP36" s="96"/>
      <c r="AR36" s="711"/>
      <c r="AS36" s="713"/>
      <c r="AT36" s="95"/>
      <c r="AU36" s="62"/>
      <c r="AV36" s="62"/>
      <c r="AW36" s="96"/>
      <c r="AY36" s="711"/>
      <c r="AZ36" s="713"/>
      <c r="BA36" s="95"/>
      <c r="BB36" s="62"/>
      <c r="BC36" s="62"/>
      <c r="BD36" s="96"/>
      <c r="BF36" s="711"/>
      <c r="BG36" s="713"/>
      <c r="BH36" s="95"/>
      <c r="BI36" s="62"/>
      <c r="BJ36" s="62"/>
      <c r="BK36" s="96"/>
    </row>
    <row r="37" spans="2:63">
      <c r="B37" s="711"/>
      <c r="C37" s="713"/>
      <c r="D37" s="95"/>
      <c r="E37" s="62"/>
      <c r="F37" s="62"/>
      <c r="G37" s="96"/>
      <c r="I37" s="711"/>
      <c r="J37" s="713"/>
      <c r="K37" s="95"/>
      <c r="L37" s="62"/>
      <c r="M37" s="62"/>
      <c r="N37" s="96"/>
      <c r="P37" s="711"/>
      <c r="Q37" s="713"/>
      <c r="R37" s="95"/>
      <c r="S37" s="62"/>
      <c r="T37" s="62"/>
      <c r="U37" s="96"/>
      <c r="W37" s="711"/>
      <c r="X37" s="713"/>
      <c r="Y37" s="95"/>
      <c r="Z37" s="62"/>
      <c r="AA37" s="62"/>
      <c r="AB37" s="96"/>
      <c r="AD37" s="711"/>
      <c r="AE37" s="713"/>
      <c r="AF37" s="95"/>
      <c r="AG37" s="62"/>
      <c r="AH37" s="62"/>
      <c r="AI37" s="96"/>
      <c r="AK37" s="711"/>
      <c r="AL37" s="713"/>
      <c r="AM37" s="95"/>
      <c r="AN37" s="62"/>
      <c r="AO37" s="62"/>
      <c r="AP37" s="96"/>
      <c r="AR37" s="711"/>
      <c r="AS37" s="713"/>
      <c r="AT37" s="95"/>
      <c r="AU37" s="62"/>
      <c r="AV37" s="62"/>
      <c r="AW37" s="96"/>
      <c r="AY37" s="711"/>
      <c r="AZ37" s="713"/>
      <c r="BA37" s="95"/>
      <c r="BB37" s="62"/>
      <c r="BC37" s="62"/>
      <c r="BD37" s="96"/>
      <c r="BF37" s="711"/>
      <c r="BG37" s="713"/>
      <c r="BH37" s="95"/>
      <c r="BI37" s="62"/>
      <c r="BJ37" s="62"/>
      <c r="BK37" s="96"/>
    </row>
    <row r="38" spans="2:63">
      <c r="B38" s="711"/>
      <c r="C38" s="713"/>
      <c r="D38" s="95"/>
      <c r="E38" s="62"/>
      <c r="F38" s="62"/>
      <c r="G38" s="96"/>
      <c r="I38" s="711"/>
      <c r="J38" s="713"/>
      <c r="K38" s="95"/>
      <c r="L38" s="62"/>
      <c r="M38" s="62"/>
      <c r="N38" s="96"/>
      <c r="P38" s="711"/>
      <c r="Q38" s="713"/>
      <c r="R38" s="95"/>
      <c r="S38" s="62"/>
      <c r="T38" s="62"/>
      <c r="U38" s="96"/>
      <c r="W38" s="711"/>
      <c r="X38" s="713"/>
      <c r="Y38" s="95"/>
      <c r="Z38" s="62"/>
      <c r="AA38" s="62"/>
      <c r="AB38" s="96"/>
      <c r="AD38" s="711"/>
      <c r="AE38" s="713"/>
      <c r="AF38" s="95"/>
      <c r="AG38" s="62"/>
      <c r="AH38" s="62"/>
      <c r="AI38" s="96"/>
      <c r="AK38" s="711"/>
      <c r="AL38" s="713"/>
      <c r="AM38" s="95"/>
      <c r="AN38" s="62"/>
      <c r="AO38" s="62"/>
      <c r="AP38" s="96"/>
      <c r="AR38" s="711"/>
      <c r="AS38" s="713"/>
      <c r="AT38" s="95"/>
      <c r="AU38" s="62"/>
      <c r="AV38" s="62"/>
      <c r="AW38" s="96"/>
      <c r="AY38" s="711"/>
      <c r="AZ38" s="713"/>
      <c r="BA38" s="95"/>
      <c r="BB38" s="62"/>
      <c r="BC38" s="62"/>
      <c r="BD38" s="96"/>
      <c r="BF38" s="711"/>
      <c r="BG38" s="713"/>
      <c r="BH38" s="95"/>
      <c r="BI38" s="62"/>
      <c r="BJ38" s="62"/>
      <c r="BK38" s="96"/>
    </row>
    <row r="39" spans="2:63">
      <c r="B39" s="711"/>
      <c r="C39" s="713"/>
      <c r="D39" s="95"/>
      <c r="E39" s="62"/>
      <c r="F39" s="62"/>
      <c r="G39" s="96"/>
      <c r="I39" s="711"/>
      <c r="J39" s="713"/>
      <c r="K39" s="95"/>
      <c r="L39" s="62"/>
      <c r="M39" s="62"/>
      <c r="N39" s="96"/>
      <c r="P39" s="711"/>
      <c r="Q39" s="713"/>
      <c r="R39" s="95"/>
      <c r="S39" s="62"/>
      <c r="T39" s="62"/>
      <c r="U39" s="96"/>
      <c r="W39" s="711"/>
      <c r="X39" s="713"/>
      <c r="Y39" s="95"/>
      <c r="Z39" s="62"/>
      <c r="AA39" s="62"/>
      <c r="AB39" s="96"/>
      <c r="AD39" s="711"/>
      <c r="AE39" s="713"/>
      <c r="AF39" s="95"/>
      <c r="AG39" s="62"/>
      <c r="AH39" s="62"/>
      <c r="AI39" s="96"/>
      <c r="AK39" s="711"/>
      <c r="AL39" s="713"/>
      <c r="AM39" s="95"/>
      <c r="AN39" s="62"/>
      <c r="AO39" s="62"/>
      <c r="AP39" s="96"/>
      <c r="AR39" s="711"/>
      <c r="AS39" s="713"/>
      <c r="AT39" s="95"/>
      <c r="AU39" s="62"/>
      <c r="AV39" s="62"/>
      <c r="AW39" s="96"/>
      <c r="AY39" s="711"/>
      <c r="AZ39" s="713"/>
      <c r="BA39" s="95"/>
      <c r="BB39" s="62"/>
      <c r="BC39" s="62"/>
      <c r="BD39" s="96"/>
      <c r="BF39" s="711"/>
      <c r="BG39" s="713"/>
      <c r="BH39" s="95"/>
      <c r="BI39" s="62"/>
      <c r="BJ39" s="62"/>
      <c r="BK39" s="96"/>
    </row>
    <row r="40" spans="2:63">
      <c r="B40" s="711"/>
      <c r="C40" s="713"/>
      <c r="D40" s="95"/>
      <c r="E40" s="62"/>
      <c r="F40" s="62"/>
      <c r="G40" s="96"/>
      <c r="I40" s="711"/>
      <c r="J40" s="713"/>
      <c r="K40" s="95"/>
      <c r="L40" s="62"/>
      <c r="M40" s="62"/>
      <c r="N40" s="96"/>
      <c r="P40" s="711"/>
      <c r="Q40" s="713"/>
      <c r="R40" s="95"/>
      <c r="S40" s="62"/>
      <c r="T40" s="62"/>
      <c r="U40" s="96"/>
      <c r="W40" s="711"/>
      <c r="X40" s="713"/>
      <c r="Y40" s="95"/>
      <c r="Z40" s="62"/>
      <c r="AA40" s="62"/>
      <c r="AB40" s="96"/>
      <c r="AD40" s="711"/>
      <c r="AE40" s="713"/>
      <c r="AF40" s="95"/>
      <c r="AG40" s="62"/>
      <c r="AH40" s="62"/>
      <c r="AI40" s="96"/>
      <c r="AK40" s="711"/>
      <c r="AL40" s="713"/>
      <c r="AM40" s="95"/>
      <c r="AN40" s="62"/>
      <c r="AO40" s="62"/>
      <c r="AP40" s="96"/>
      <c r="AR40" s="711"/>
      <c r="AS40" s="713"/>
      <c r="AT40" s="95"/>
      <c r="AU40" s="62"/>
      <c r="AV40" s="62"/>
      <c r="AW40" s="96"/>
      <c r="AY40" s="711"/>
      <c r="AZ40" s="713"/>
      <c r="BA40" s="95"/>
      <c r="BB40" s="62"/>
      <c r="BC40" s="62"/>
      <c r="BD40" s="96"/>
      <c r="BF40" s="711"/>
      <c r="BG40" s="713"/>
      <c r="BH40" s="95"/>
      <c r="BI40" s="62"/>
      <c r="BJ40" s="62"/>
      <c r="BK40" s="96"/>
    </row>
    <row r="41" spans="2:63">
      <c r="B41" s="711"/>
      <c r="C41" s="713"/>
      <c r="D41" s="95"/>
      <c r="E41" s="62"/>
      <c r="F41" s="62"/>
      <c r="G41" s="96"/>
      <c r="I41" s="711"/>
      <c r="J41" s="713"/>
      <c r="K41" s="95"/>
      <c r="L41" s="62"/>
      <c r="M41" s="62"/>
      <c r="N41" s="96"/>
      <c r="P41" s="711"/>
      <c r="Q41" s="713"/>
      <c r="R41" s="95"/>
      <c r="S41" s="62"/>
      <c r="T41" s="62"/>
      <c r="U41" s="96"/>
      <c r="W41" s="711"/>
      <c r="X41" s="713"/>
      <c r="Y41" s="95"/>
      <c r="Z41" s="62"/>
      <c r="AA41" s="62"/>
      <c r="AB41" s="96"/>
      <c r="AD41" s="711"/>
      <c r="AE41" s="713"/>
      <c r="AF41" s="95"/>
      <c r="AG41" s="62"/>
      <c r="AH41" s="62"/>
      <c r="AI41" s="96"/>
      <c r="AK41" s="711"/>
      <c r="AL41" s="713"/>
      <c r="AM41" s="95"/>
      <c r="AN41" s="62"/>
      <c r="AO41" s="62"/>
      <c r="AP41" s="96"/>
      <c r="AR41" s="711"/>
      <c r="AS41" s="713"/>
      <c r="AT41" s="95"/>
      <c r="AU41" s="62"/>
      <c r="AV41" s="62"/>
      <c r="AW41" s="96"/>
      <c r="AY41" s="711"/>
      <c r="AZ41" s="713"/>
      <c r="BA41" s="95"/>
      <c r="BB41" s="62"/>
      <c r="BC41" s="62"/>
      <c r="BD41" s="96"/>
      <c r="BF41" s="711"/>
      <c r="BG41" s="713"/>
      <c r="BH41" s="95"/>
      <c r="BI41" s="62"/>
      <c r="BJ41" s="62"/>
      <c r="BK41" s="96"/>
    </row>
    <row r="42" spans="2:63">
      <c r="B42" s="711"/>
      <c r="C42" s="713"/>
      <c r="D42" s="95"/>
      <c r="E42" s="62"/>
      <c r="F42" s="62"/>
      <c r="G42" s="96"/>
      <c r="I42" s="711"/>
      <c r="J42" s="713"/>
      <c r="K42" s="95"/>
      <c r="L42" s="62"/>
      <c r="M42" s="62"/>
      <c r="N42" s="96"/>
      <c r="P42" s="711"/>
      <c r="Q42" s="713"/>
      <c r="R42" s="95"/>
      <c r="S42" s="62"/>
      <c r="T42" s="62"/>
      <c r="U42" s="96"/>
      <c r="W42" s="711"/>
      <c r="X42" s="713"/>
      <c r="Y42" s="95"/>
      <c r="Z42" s="62"/>
      <c r="AA42" s="62"/>
      <c r="AB42" s="96"/>
      <c r="AD42" s="711"/>
      <c r="AE42" s="713"/>
      <c r="AF42" s="95"/>
      <c r="AG42" s="62"/>
      <c r="AH42" s="62"/>
      <c r="AI42" s="96"/>
      <c r="AK42" s="711"/>
      <c r="AL42" s="713"/>
      <c r="AM42" s="95"/>
      <c r="AN42" s="62"/>
      <c r="AO42" s="62"/>
      <c r="AP42" s="96"/>
      <c r="AR42" s="711"/>
      <c r="AS42" s="713"/>
      <c r="AT42" s="95"/>
      <c r="AU42" s="62"/>
      <c r="AV42" s="62"/>
      <c r="AW42" s="96"/>
      <c r="AY42" s="711"/>
      <c r="AZ42" s="713"/>
      <c r="BA42" s="95"/>
      <c r="BB42" s="62"/>
      <c r="BC42" s="62"/>
      <c r="BD42" s="96"/>
      <c r="BF42" s="711"/>
      <c r="BG42" s="713"/>
      <c r="BH42" s="95"/>
      <c r="BI42" s="62"/>
      <c r="BJ42" s="62"/>
      <c r="BK42" s="96"/>
    </row>
    <row r="43" spans="2:63">
      <c r="B43" s="711"/>
      <c r="C43" s="713"/>
      <c r="D43" s="95"/>
      <c r="E43" s="62"/>
      <c r="F43" s="62"/>
      <c r="G43" s="96"/>
      <c r="I43" s="711"/>
      <c r="J43" s="713"/>
      <c r="K43" s="95"/>
      <c r="L43" s="62"/>
      <c r="M43" s="62"/>
      <c r="N43" s="96"/>
      <c r="P43" s="711"/>
      <c r="Q43" s="713"/>
      <c r="R43" s="95"/>
      <c r="S43" s="62"/>
      <c r="T43" s="62"/>
      <c r="U43" s="96"/>
      <c r="W43" s="711"/>
      <c r="X43" s="713"/>
      <c r="Y43" s="95"/>
      <c r="Z43" s="62"/>
      <c r="AA43" s="62"/>
      <c r="AB43" s="96"/>
      <c r="AD43" s="711"/>
      <c r="AE43" s="713"/>
      <c r="AF43" s="95"/>
      <c r="AG43" s="62"/>
      <c r="AH43" s="62"/>
      <c r="AI43" s="96"/>
      <c r="AK43" s="711"/>
      <c r="AL43" s="713"/>
      <c r="AM43" s="95"/>
      <c r="AN43" s="62"/>
      <c r="AO43" s="62"/>
      <c r="AP43" s="96"/>
      <c r="AR43" s="711"/>
      <c r="AS43" s="713"/>
      <c r="AT43" s="95"/>
      <c r="AU43" s="62"/>
      <c r="AV43" s="62"/>
      <c r="AW43" s="96"/>
      <c r="AY43" s="711"/>
      <c r="AZ43" s="713"/>
      <c r="BA43" s="95"/>
      <c r="BB43" s="62"/>
      <c r="BC43" s="62"/>
      <c r="BD43" s="96"/>
      <c r="BF43" s="711"/>
      <c r="BG43" s="713"/>
      <c r="BH43" s="95"/>
      <c r="BI43" s="62"/>
      <c r="BJ43" s="62"/>
      <c r="BK43" s="96"/>
    </row>
    <row r="44" spans="2:63">
      <c r="B44" s="711"/>
      <c r="C44" s="713"/>
      <c r="D44" s="95"/>
      <c r="E44" s="62"/>
      <c r="F44" s="62"/>
      <c r="G44" s="96"/>
      <c r="I44" s="711"/>
      <c r="J44" s="713"/>
      <c r="K44" s="95"/>
      <c r="L44" s="62"/>
      <c r="M44" s="62"/>
      <c r="N44" s="96"/>
      <c r="P44" s="711"/>
      <c r="Q44" s="713"/>
      <c r="R44" s="95"/>
      <c r="S44" s="62"/>
      <c r="T44" s="62"/>
      <c r="U44" s="96"/>
      <c r="W44" s="711"/>
      <c r="X44" s="713"/>
      <c r="Y44" s="95"/>
      <c r="Z44" s="62"/>
      <c r="AA44" s="62"/>
      <c r="AB44" s="96"/>
      <c r="AD44" s="711"/>
      <c r="AE44" s="713"/>
      <c r="AF44" s="95"/>
      <c r="AG44" s="62"/>
      <c r="AH44" s="62"/>
      <c r="AI44" s="96"/>
      <c r="AK44" s="711"/>
      <c r="AL44" s="713"/>
      <c r="AM44" s="95"/>
      <c r="AN44" s="62"/>
      <c r="AO44" s="62"/>
      <c r="AP44" s="96"/>
      <c r="AR44" s="711"/>
      <c r="AS44" s="713"/>
      <c r="AT44" s="95"/>
      <c r="AU44" s="62"/>
      <c r="AV44" s="62"/>
      <c r="AW44" s="96"/>
      <c r="AY44" s="711"/>
      <c r="AZ44" s="713"/>
      <c r="BA44" s="95"/>
      <c r="BB44" s="62"/>
      <c r="BC44" s="62"/>
      <c r="BD44" s="96"/>
      <c r="BF44" s="711"/>
      <c r="BG44" s="713"/>
      <c r="BH44" s="95"/>
      <c r="BI44" s="62"/>
      <c r="BJ44" s="62"/>
      <c r="BK44" s="96"/>
    </row>
    <row r="45" spans="2:63">
      <c r="B45" s="711"/>
      <c r="C45" s="713"/>
      <c r="D45" s="95"/>
      <c r="E45" s="62"/>
      <c r="F45" s="62"/>
      <c r="G45" s="96"/>
      <c r="I45" s="711"/>
      <c r="J45" s="713"/>
      <c r="K45" s="95"/>
      <c r="L45" s="62"/>
      <c r="M45" s="62"/>
      <c r="N45" s="96"/>
      <c r="P45" s="711"/>
      <c r="Q45" s="713"/>
      <c r="R45" s="95"/>
      <c r="S45" s="62"/>
      <c r="T45" s="62"/>
      <c r="U45" s="96"/>
      <c r="W45" s="711"/>
      <c r="X45" s="713"/>
      <c r="Y45" s="95"/>
      <c r="Z45" s="62"/>
      <c r="AA45" s="62"/>
      <c r="AB45" s="96"/>
      <c r="AD45" s="711"/>
      <c r="AE45" s="713"/>
      <c r="AF45" s="95"/>
      <c r="AG45" s="62"/>
      <c r="AH45" s="62"/>
      <c r="AI45" s="96"/>
      <c r="AK45" s="711"/>
      <c r="AL45" s="713"/>
      <c r="AM45" s="95"/>
      <c r="AN45" s="62"/>
      <c r="AO45" s="62"/>
      <c r="AP45" s="96"/>
      <c r="AR45" s="711"/>
      <c r="AS45" s="713"/>
      <c r="AT45" s="95"/>
      <c r="AU45" s="62"/>
      <c r="AV45" s="62"/>
      <c r="AW45" s="96"/>
      <c r="AY45" s="711"/>
      <c r="AZ45" s="713"/>
      <c r="BA45" s="95"/>
      <c r="BB45" s="62"/>
      <c r="BC45" s="62"/>
      <c r="BD45" s="96"/>
      <c r="BF45" s="711"/>
      <c r="BG45" s="713"/>
      <c r="BH45" s="95"/>
      <c r="BI45" s="62"/>
      <c r="BJ45" s="62"/>
      <c r="BK45" s="96"/>
    </row>
    <row r="46" spans="2:63">
      <c r="B46" s="711"/>
      <c r="C46" s="713"/>
      <c r="D46" s="95"/>
      <c r="E46" s="62"/>
      <c r="F46" s="62"/>
      <c r="G46" s="96"/>
      <c r="I46" s="711"/>
      <c r="J46" s="713"/>
      <c r="K46" s="95"/>
      <c r="L46" s="62"/>
      <c r="M46" s="62"/>
      <c r="N46" s="96"/>
      <c r="P46" s="711"/>
      <c r="Q46" s="713"/>
      <c r="R46" s="95"/>
      <c r="S46" s="62"/>
      <c r="T46" s="62"/>
      <c r="U46" s="96"/>
      <c r="W46" s="711"/>
      <c r="X46" s="713"/>
      <c r="Y46" s="95"/>
      <c r="Z46" s="62"/>
      <c r="AA46" s="62"/>
      <c r="AB46" s="96"/>
      <c r="AD46" s="711"/>
      <c r="AE46" s="713"/>
      <c r="AF46" s="95"/>
      <c r="AG46" s="62"/>
      <c r="AH46" s="62"/>
      <c r="AI46" s="96"/>
      <c r="AK46" s="711"/>
      <c r="AL46" s="713"/>
      <c r="AM46" s="95"/>
      <c r="AN46" s="62"/>
      <c r="AO46" s="62"/>
      <c r="AP46" s="96"/>
      <c r="AR46" s="711"/>
      <c r="AS46" s="713"/>
      <c r="AT46" s="95"/>
      <c r="AU46" s="62"/>
      <c r="AV46" s="62"/>
      <c r="AW46" s="96"/>
      <c r="AY46" s="711"/>
      <c r="AZ46" s="713"/>
      <c r="BA46" s="95"/>
      <c r="BB46" s="62"/>
      <c r="BC46" s="62"/>
      <c r="BD46" s="96"/>
      <c r="BF46" s="711"/>
      <c r="BG46" s="713"/>
      <c r="BH46" s="95"/>
      <c r="BI46" s="62"/>
      <c r="BJ46" s="62"/>
      <c r="BK46" s="96"/>
    </row>
    <row r="47" spans="2:63">
      <c r="B47" s="711"/>
      <c r="C47" s="714"/>
      <c r="D47" s="97"/>
      <c r="E47" s="62"/>
      <c r="F47" s="62"/>
      <c r="G47" s="98"/>
      <c r="I47" s="711"/>
      <c r="J47" s="714"/>
      <c r="K47" s="97"/>
      <c r="L47" s="62"/>
      <c r="M47" s="62"/>
      <c r="N47" s="98"/>
      <c r="P47" s="711"/>
      <c r="Q47" s="714"/>
      <c r="R47" s="97"/>
      <c r="S47" s="62"/>
      <c r="T47" s="62"/>
      <c r="U47" s="98"/>
      <c r="W47" s="711"/>
      <c r="X47" s="714"/>
      <c r="Y47" s="97"/>
      <c r="Z47" s="62"/>
      <c r="AA47" s="62"/>
      <c r="AB47" s="98"/>
      <c r="AD47" s="711"/>
      <c r="AE47" s="714"/>
      <c r="AF47" s="97"/>
      <c r="AG47" s="62"/>
      <c r="AH47" s="62"/>
      <c r="AI47" s="98"/>
      <c r="AK47" s="711"/>
      <c r="AL47" s="714"/>
      <c r="AM47" s="97"/>
      <c r="AN47" s="62"/>
      <c r="AO47" s="62"/>
      <c r="AP47" s="98"/>
      <c r="AR47" s="711"/>
      <c r="AS47" s="714"/>
      <c r="AT47" s="97"/>
      <c r="AU47" s="62"/>
      <c r="AV47" s="62"/>
      <c r="AW47" s="98"/>
      <c r="AY47" s="711"/>
      <c r="AZ47" s="714"/>
      <c r="BA47" s="97"/>
      <c r="BB47" s="62"/>
      <c r="BC47" s="62"/>
      <c r="BD47" s="98"/>
      <c r="BF47" s="711"/>
      <c r="BG47" s="714"/>
      <c r="BH47" s="97"/>
      <c r="BI47" s="62"/>
      <c r="BJ47" s="62"/>
      <c r="BK47" s="98"/>
    </row>
    <row r="48" spans="2:63">
      <c r="B48" s="712"/>
      <c r="C48" s="715"/>
      <c r="D48" s="99"/>
      <c r="E48" s="63"/>
      <c r="F48" s="63"/>
      <c r="G48" s="100"/>
      <c r="I48" s="712"/>
      <c r="J48" s="715"/>
      <c r="K48" s="99"/>
      <c r="L48" s="63"/>
      <c r="M48" s="63"/>
      <c r="N48" s="100"/>
      <c r="P48" s="712"/>
      <c r="Q48" s="715"/>
      <c r="R48" s="99"/>
      <c r="S48" s="63"/>
      <c r="T48" s="63"/>
      <c r="U48" s="100"/>
      <c r="W48" s="712"/>
      <c r="X48" s="715"/>
      <c r="Y48" s="99"/>
      <c r="Z48" s="63"/>
      <c r="AA48" s="63"/>
      <c r="AB48" s="100"/>
      <c r="AD48" s="712"/>
      <c r="AE48" s="715"/>
      <c r="AF48" s="99"/>
      <c r="AG48" s="63"/>
      <c r="AH48" s="63"/>
      <c r="AI48" s="100"/>
      <c r="AK48" s="712"/>
      <c r="AL48" s="715"/>
      <c r="AM48" s="99"/>
      <c r="AN48" s="63"/>
      <c r="AO48" s="63"/>
      <c r="AP48" s="100"/>
      <c r="AR48" s="712"/>
      <c r="AS48" s="715"/>
      <c r="AT48" s="99"/>
      <c r="AU48" s="63"/>
      <c r="AV48" s="63"/>
      <c r="AW48" s="100"/>
      <c r="AY48" s="712"/>
      <c r="AZ48" s="715"/>
      <c r="BA48" s="99"/>
      <c r="BB48" s="63"/>
      <c r="BC48" s="63"/>
      <c r="BD48" s="100"/>
      <c r="BF48" s="712"/>
      <c r="BG48" s="715"/>
      <c r="BH48" s="99"/>
      <c r="BI48" s="63"/>
      <c r="BJ48" s="63"/>
      <c r="BK48" s="100"/>
    </row>
    <row r="49" spans="2:7">
      <c r="B49" s="14"/>
      <c r="C49" s="14"/>
      <c r="D49" s="14"/>
      <c r="E49" s="15"/>
      <c r="F49" s="15"/>
      <c r="G49" s="14"/>
    </row>
  </sheetData>
  <mergeCells count="423">
    <mergeCell ref="U2:U3"/>
    <mergeCell ref="W2:X3"/>
    <mergeCell ref="Z2:AA3"/>
    <mergeCell ref="AB2:AB3"/>
    <mergeCell ref="B2:C3"/>
    <mergeCell ref="E2:F3"/>
    <mergeCell ref="G2:G3"/>
    <mergeCell ref="I2:J3"/>
    <mergeCell ref="L2:M3"/>
    <mergeCell ref="N2:N3"/>
    <mergeCell ref="BF2:BG3"/>
    <mergeCell ref="BI2:BJ3"/>
    <mergeCell ref="BK2:BK3"/>
    <mergeCell ref="B5:B6"/>
    <mergeCell ref="C5:C6"/>
    <mergeCell ref="I5:I6"/>
    <mergeCell ref="J5:J6"/>
    <mergeCell ref="P5:P6"/>
    <mergeCell ref="Q5:Q6"/>
    <mergeCell ref="W5:W6"/>
    <mergeCell ref="AR2:AS3"/>
    <mergeCell ref="AU2:AV3"/>
    <mergeCell ref="AW2:AW3"/>
    <mergeCell ref="AY2:AZ3"/>
    <mergeCell ref="BB2:BC3"/>
    <mergeCell ref="BD2:BD3"/>
    <mergeCell ref="AD2:AE3"/>
    <mergeCell ref="AG2:AH3"/>
    <mergeCell ref="AI2:AI3"/>
    <mergeCell ref="AK2:AL3"/>
    <mergeCell ref="AN2:AO3"/>
    <mergeCell ref="AP2:AP3"/>
    <mergeCell ref="P2:Q3"/>
    <mergeCell ref="S2:T3"/>
    <mergeCell ref="BG5:BG6"/>
    <mergeCell ref="B7:B8"/>
    <mergeCell ref="C7:C8"/>
    <mergeCell ref="I9:I10"/>
    <mergeCell ref="J9:J10"/>
    <mergeCell ref="P7:P8"/>
    <mergeCell ref="X5:X6"/>
    <mergeCell ref="AD5:AD6"/>
    <mergeCell ref="AE5:AE6"/>
    <mergeCell ref="AK5:AK6"/>
    <mergeCell ref="AL5:AL6"/>
    <mergeCell ref="AR5:AR6"/>
    <mergeCell ref="I7:I8"/>
    <mergeCell ref="J7:J8"/>
    <mergeCell ref="BG7:BG8"/>
    <mergeCell ref="B9:B10"/>
    <mergeCell ref="C9:C10"/>
    <mergeCell ref="AS7:AS8"/>
    <mergeCell ref="AY7:AY8"/>
    <mergeCell ref="AZ7:AZ8"/>
    <mergeCell ref="P9:P10"/>
    <mergeCell ref="Q9:Q10"/>
    <mergeCell ref="W9:W10"/>
    <mergeCell ref="X9:X10"/>
    <mergeCell ref="AD9:AD10"/>
    <mergeCell ref="AL7:AL8"/>
    <mergeCell ref="AR7:AR8"/>
    <mergeCell ref="AS5:AS6"/>
    <mergeCell ref="AY5:AY6"/>
    <mergeCell ref="BF7:BF8"/>
    <mergeCell ref="Q7:Q8"/>
    <mergeCell ref="W7:W8"/>
    <mergeCell ref="X7:X8"/>
    <mergeCell ref="AD7:AD8"/>
    <mergeCell ref="AE7:AE8"/>
    <mergeCell ref="AK7:AK8"/>
    <mergeCell ref="AZ9:AZ10"/>
    <mergeCell ref="BF9:BF10"/>
    <mergeCell ref="AZ5:AZ6"/>
    <mergeCell ref="BF5:BF6"/>
    <mergeCell ref="BG9:BG10"/>
    <mergeCell ref="B11:B12"/>
    <mergeCell ref="C11:C12"/>
    <mergeCell ref="I13:I14"/>
    <mergeCell ref="J13:J14"/>
    <mergeCell ref="P11:P12"/>
    <mergeCell ref="Q11:Q12"/>
    <mergeCell ref="W11:W12"/>
    <mergeCell ref="AE9:AE10"/>
    <mergeCell ref="AK9:AK10"/>
    <mergeCell ref="AL9:AL10"/>
    <mergeCell ref="AR9:AR10"/>
    <mergeCell ref="AS9:AS10"/>
    <mergeCell ref="AY9:AY10"/>
    <mergeCell ref="AS11:AS12"/>
    <mergeCell ref="AY11:AY12"/>
    <mergeCell ref="AZ11:AZ12"/>
    <mergeCell ref="BF11:BF12"/>
    <mergeCell ref="BG11:BG12"/>
    <mergeCell ref="B13:B14"/>
    <mergeCell ref="C13:C14"/>
    <mergeCell ref="BG13:BG14"/>
    <mergeCell ref="AS13:AS14"/>
    <mergeCell ref="AY13:AY14"/>
    <mergeCell ref="X11:X12"/>
    <mergeCell ref="AD11:AD12"/>
    <mergeCell ref="AE11:AE12"/>
    <mergeCell ref="AK11:AK12"/>
    <mergeCell ref="AL11:AL12"/>
    <mergeCell ref="AR11:AR12"/>
    <mergeCell ref="I15:I16"/>
    <mergeCell ref="J15:J16"/>
    <mergeCell ref="AL13:AL14"/>
    <mergeCell ref="AR13:AR14"/>
    <mergeCell ref="I11:I12"/>
    <mergeCell ref="J11:J12"/>
    <mergeCell ref="J21:J22"/>
    <mergeCell ref="P15:P16"/>
    <mergeCell ref="Q15:Q16"/>
    <mergeCell ref="W15:W16"/>
    <mergeCell ref="X15:X16"/>
    <mergeCell ref="AD15:AD16"/>
    <mergeCell ref="I17:I18"/>
    <mergeCell ref="J17:J18"/>
    <mergeCell ref="P13:P14"/>
    <mergeCell ref="X17:X18"/>
    <mergeCell ref="AD17:AD18"/>
    <mergeCell ref="P21:P22"/>
    <mergeCell ref="Q21:Q22"/>
    <mergeCell ref="W21:W22"/>
    <mergeCell ref="X21:X22"/>
    <mergeCell ref="AD21:AD22"/>
    <mergeCell ref="B19:B20"/>
    <mergeCell ref="C19:C20"/>
    <mergeCell ref="BG19:BG20"/>
    <mergeCell ref="B21:B22"/>
    <mergeCell ref="C21:C22"/>
    <mergeCell ref="AZ13:AZ14"/>
    <mergeCell ref="BF13:BF14"/>
    <mergeCell ref="Q13:Q14"/>
    <mergeCell ref="W13:W14"/>
    <mergeCell ref="X13:X14"/>
    <mergeCell ref="AD13:AD14"/>
    <mergeCell ref="AE13:AE14"/>
    <mergeCell ref="AK13:AK14"/>
    <mergeCell ref="I19:I20"/>
    <mergeCell ref="J19:J20"/>
    <mergeCell ref="AZ15:AZ16"/>
    <mergeCell ref="BF15:BF16"/>
    <mergeCell ref="AS19:AS20"/>
    <mergeCell ref="AY19:AY20"/>
    <mergeCell ref="AZ19:AZ20"/>
    <mergeCell ref="BF19:BF20"/>
    <mergeCell ref="B15:B16"/>
    <mergeCell ref="C15:C16"/>
    <mergeCell ref="I21:I22"/>
    <mergeCell ref="AE17:AE18"/>
    <mergeCell ref="AK17:AK18"/>
    <mergeCell ref="AL17:AL18"/>
    <mergeCell ref="AR17:AR18"/>
    <mergeCell ref="BG15:BG16"/>
    <mergeCell ref="B17:B18"/>
    <mergeCell ref="C17:C18"/>
    <mergeCell ref="P17:P18"/>
    <mergeCell ref="Q17:Q18"/>
    <mergeCell ref="W17:W18"/>
    <mergeCell ref="AE15:AE16"/>
    <mergeCell ref="AK15:AK16"/>
    <mergeCell ref="AL15:AL16"/>
    <mergeCell ref="AR15:AR16"/>
    <mergeCell ref="AS15:AS16"/>
    <mergeCell ref="AY15:AY16"/>
    <mergeCell ref="AS17:AS18"/>
    <mergeCell ref="AY17:AY18"/>
    <mergeCell ref="AZ17:AZ18"/>
    <mergeCell ref="BF17:BF18"/>
    <mergeCell ref="BG17:BG18"/>
    <mergeCell ref="AL19:AL20"/>
    <mergeCell ref="AR19:AR20"/>
    <mergeCell ref="Q19:Q20"/>
    <mergeCell ref="W19:W20"/>
    <mergeCell ref="X19:X20"/>
    <mergeCell ref="AD19:AD20"/>
    <mergeCell ref="AE19:AE20"/>
    <mergeCell ref="AK19:AK20"/>
    <mergeCell ref="P19:P20"/>
    <mergeCell ref="AZ21:AZ22"/>
    <mergeCell ref="BF21:BF22"/>
    <mergeCell ref="BG21:BG22"/>
    <mergeCell ref="B23:B24"/>
    <mergeCell ref="C23:C24"/>
    <mergeCell ref="I29:I30"/>
    <mergeCell ref="J29:J30"/>
    <mergeCell ref="P23:P24"/>
    <mergeCell ref="Q23:Q24"/>
    <mergeCell ref="W23:W24"/>
    <mergeCell ref="AE21:AE22"/>
    <mergeCell ref="AK21:AK22"/>
    <mergeCell ref="AL21:AL22"/>
    <mergeCell ref="AR21:AR22"/>
    <mergeCell ref="AS21:AS22"/>
    <mergeCell ref="AY21:AY22"/>
    <mergeCell ref="AS23:AS24"/>
    <mergeCell ref="AY23:AY24"/>
    <mergeCell ref="AZ23:AZ24"/>
    <mergeCell ref="BF23:BF24"/>
    <mergeCell ref="BG23:BG24"/>
    <mergeCell ref="B25:B26"/>
    <mergeCell ref="C25:C26"/>
    <mergeCell ref="BG25:BG26"/>
    <mergeCell ref="X27:X28"/>
    <mergeCell ref="AD27:AD28"/>
    <mergeCell ref="AL25:AL26"/>
    <mergeCell ref="AR25:AR26"/>
    <mergeCell ref="I31:I32"/>
    <mergeCell ref="J31:J32"/>
    <mergeCell ref="P25:P26"/>
    <mergeCell ref="X23:X24"/>
    <mergeCell ref="AD23:AD24"/>
    <mergeCell ref="AE23:AE24"/>
    <mergeCell ref="AK23:AK24"/>
    <mergeCell ref="AL23:AL24"/>
    <mergeCell ref="AR23:AR24"/>
    <mergeCell ref="I27:I28"/>
    <mergeCell ref="J27:J28"/>
    <mergeCell ref="I25:I26"/>
    <mergeCell ref="J25:J26"/>
    <mergeCell ref="I23:I24"/>
    <mergeCell ref="J23:J24"/>
    <mergeCell ref="AS25:AS26"/>
    <mergeCell ref="AY25:AY26"/>
    <mergeCell ref="AZ25:AZ26"/>
    <mergeCell ref="BF25:BF26"/>
    <mergeCell ref="Q25:Q26"/>
    <mergeCell ref="W25:W26"/>
    <mergeCell ref="X25:X26"/>
    <mergeCell ref="AD25:AD26"/>
    <mergeCell ref="AE25:AE26"/>
    <mergeCell ref="AK25:AK26"/>
    <mergeCell ref="AZ27:AZ28"/>
    <mergeCell ref="BF27:BF28"/>
    <mergeCell ref="BG27:BG28"/>
    <mergeCell ref="B29:B30"/>
    <mergeCell ref="C29:C30"/>
    <mergeCell ref="P29:P30"/>
    <mergeCell ref="Q29:Q30"/>
    <mergeCell ref="W29:W30"/>
    <mergeCell ref="AE27:AE28"/>
    <mergeCell ref="AK27:AK28"/>
    <mergeCell ref="AL27:AL28"/>
    <mergeCell ref="AR27:AR28"/>
    <mergeCell ref="AS27:AS28"/>
    <mergeCell ref="AY27:AY28"/>
    <mergeCell ref="AS29:AS30"/>
    <mergeCell ref="AY29:AY30"/>
    <mergeCell ref="AZ29:AZ30"/>
    <mergeCell ref="BF29:BF30"/>
    <mergeCell ref="BG29:BG30"/>
    <mergeCell ref="B27:B28"/>
    <mergeCell ref="C27:C28"/>
    <mergeCell ref="P27:P28"/>
    <mergeCell ref="Q27:Q28"/>
    <mergeCell ref="W27:W28"/>
    <mergeCell ref="B31:B32"/>
    <mergeCell ref="C31:C32"/>
    <mergeCell ref="P31:P32"/>
    <mergeCell ref="X29:X30"/>
    <mergeCell ref="AD29:AD30"/>
    <mergeCell ref="AE29:AE30"/>
    <mergeCell ref="AK29:AK30"/>
    <mergeCell ref="AL29:AL30"/>
    <mergeCell ref="AR29:AR30"/>
    <mergeCell ref="BG31:BG32"/>
    <mergeCell ref="B33:B34"/>
    <mergeCell ref="C33:C34"/>
    <mergeCell ref="I33:I34"/>
    <mergeCell ref="J33:J34"/>
    <mergeCell ref="P33:P34"/>
    <mergeCell ref="Q33:Q34"/>
    <mergeCell ref="W33:W34"/>
    <mergeCell ref="X33:X34"/>
    <mergeCell ref="AD33:AD34"/>
    <mergeCell ref="AL31:AL32"/>
    <mergeCell ref="AR31:AR32"/>
    <mergeCell ref="AS31:AS32"/>
    <mergeCell ref="AY31:AY32"/>
    <mergeCell ref="AZ31:AZ32"/>
    <mergeCell ref="BF31:BF32"/>
    <mergeCell ref="Q31:Q32"/>
    <mergeCell ref="W31:W32"/>
    <mergeCell ref="X31:X32"/>
    <mergeCell ref="AD31:AD32"/>
    <mergeCell ref="AE31:AE32"/>
    <mergeCell ref="AK31:AK32"/>
    <mergeCell ref="AZ33:AZ34"/>
    <mergeCell ref="BF33:BF34"/>
    <mergeCell ref="BG33:BG34"/>
    <mergeCell ref="B35:B36"/>
    <mergeCell ref="C35:C36"/>
    <mergeCell ref="I35:I36"/>
    <mergeCell ref="J35:J36"/>
    <mergeCell ref="P35:P36"/>
    <mergeCell ref="Q35:Q36"/>
    <mergeCell ref="W35:W36"/>
    <mergeCell ref="AE33:AE34"/>
    <mergeCell ref="AK33:AK34"/>
    <mergeCell ref="AL33:AL34"/>
    <mergeCell ref="AR33:AR34"/>
    <mergeCell ref="AS33:AS34"/>
    <mergeCell ref="AY33:AY34"/>
    <mergeCell ref="AS35:AS36"/>
    <mergeCell ref="AY35:AY36"/>
    <mergeCell ref="AZ35:AZ36"/>
    <mergeCell ref="BF35:BF36"/>
    <mergeCell ref="BG35:BG36"/>
    <mergeCell ref="AL35:AL36"/>
    <mergeCell ref="AR35:AR36"/>
    <mergeCell ref="B37:B38"/>
    <mergeCell ref="C37:C38"/>
    <mergeCell ref="I37:I38"/>
    <mergeCell ref="J37:J38"/>
    <mergeCell ref="P37:P38"/>
    <mergeCell ref="X35:X36"/>
    <mergeCell ref="AD35:AD36"/>
    <mergeCell ref="AE35:AE36"/>
    <mergeCell ref="AK35:AK36"/>
    <mergeCell ref="BG37:BG38"/>
    <mergeCell ref="B39:B40"/>
    <mergeCell ref="C39:C40"/>
    <mergeCell ref="I39:I40"/>
    <mergeCell ref="J39:J40"/>
    <mergeCell ref="P39:P40"/>
    <mergeCell ref="Q39:Q40"/>
    <mergeCell ref="W39:W40"/>
    <mergeCell ref="X39:X40"/>
    <mergeCell ref="AD39:AD40"/>
    <mergeCell ref="AL37:AL38"/>
    <mergeCell ref="AR37:AR38"/>
    <mergeCell ref="AS37:AS38"/>
    <mergeCell ref="AY37:AY38"/>
    <mergeCell ref="AZ37:AZ38"/>
    <mergeCell ref="BF37:BF38"/>
    <mergeCell ref="Q37:Q38"/>
    <mergeCell ref="W37:W38"/>
    <mergeCell ref="X37:X38"/>
    <mergeCell ref="AD37:AD38"/>
    <mergeCell ref="AE37:AE38"/>
    <mergeCell ref="AK37:AK38"/>
    <mergeCell ref="AZ39:AZ40"/>
    <mergeCell ref="BF39:BF40"/>
    <mergeCell ref="BG39:BG40"/>
    <mergeCell ref="B41:B42"/>
    <mergeCell ref="C41:C42"/>
    <mergeCell ref="I41:I42"/>
    <mergeCell ref="J41:J42"/>
    <mergeCell ref="P41:P42"/>
    <mergeCell ref="Q41:Q42"/>
    <mergeCell ref="W41:W42"/>
    <mergeCell ref="AE39:AE40"/>
    <mergeCell ref="AK39:AK40"/>
    <mergeCell ref="AL39:AL40"/>
    <mergeCell ref="AR39:AR40"/>
    <mergeCell ref="AS39:AS40"/>
    <mergeCell ref="AY39:AY40"/>
    <mergeCell ref="AS41:AS42"/>
    <mergeCell ref="AY41:AY42"/>
    <mergeCell ref="AZ41:AZ42"/>
    <mergeCell ref="BF41:BF42"/>
    <mergeCell ref="BG41:BG42"/>
    <mergeCell ref="AL41:AL42"/>
    <mergeCell ref="AR41:AR42"/>
    <mergeCell ref="BF45:BF46"/>
    <mergeCell ref="B43:B44"/>
    <mergeCell ref="C43:C44"/>
    <mergeCell ref="I43:I44"/>
    <mergeCell ref="J43:J44"/>
    <mergeCell ref="P43:P44"/>
    <mergeCell ref="X41:X42"/>
    <mergeCell ref="AD41:AD42"/>
    <mergeCell ref="AE41:AE42"/>
    <mergeCell ref="AK41:AK42"/>
    <mergeCell ref="AL47:AL48"/>
    <mergeCell ref="BG43:BG44"/>
    <mergeCell ref="B45:B46"/>
    <mergeCell ref="C45:C46"/>
    <mergeCell ref="I45:I46"/>
    <mergeCell ref="J45:J46"/>
    <mergeCell ref="P45:P46"/>
    <mergeCell ref="Q45:Q46"/>
    <mergeCell ref="W45:W46"/>
    <mergeCell ref="X45:X46"/>
    <mergeCell ref="AD45:AD46"/>
    <mergeCell ref="AL43:AL44"/>
    <mergeCell ref="AR43:AR44"/>
    <mergeCell ref="AS43:AS44"/>
    <mergeCell ref="AY43:AY44"/>
    <mergeCell ref="AZ43:AZ44"/>
    <mergeCell ref="BF43:BF44"/>
    <mergeCell ref="Q43:Q44"/>
    <mergeCell ref="W43:W44"/>
    <mergeCell ref="X43:X44"/>
    <mergeCell ref="AD43:AD44"/>
    <mergeCell ref="AE43:AE44"/>
    <mergeCell ref="AK43:AK44"/>
    <mergeCell ref="AZ45:AZ46"/>
    <mergeCell ref="AR47:AR48"/>
    <mergeCell ref="BG45:BG46"/>
    <mergeCell ref="B47:B48"/>
    <mergeCell ref="C47:C48"/>
    <mergeCell ref="I47:I48"/>
    <mergeCell ref="J47:J48"/>
    <mergeCell ref="P47:P48"/>
    <mergeCell ref="Q47:Q48"/>
    <mergeCell ref="W47:W48"/>
    <mergeCell ref="AE45:AE46"/>
    <mergeCell ref="AK45:AK46"/>
    <mergeCell ref="AL45:AL46"/>
    <mergeCell ref="AR45:AR46"/>
    <mergeCell ref="AS45:AS46"/>
    <mergeCell ref="AY45:AY46"/>
    <mergeCell ref="AS47:AS48"/>
    <mergeCell ref="AY47:AY48"/>
    <mergeCell ref="AZ47:AZ48"/>
    <mergeCell ref="BF47:BF48"/>
    <mergeCell ref="BG47:BG48"/>
    <mergeCell ref="X47:X48"/>
    <mergeCell ref="AD47:AD48"/>
    <mergeCell ref="AE47:AE48"/>
    <mergeCell ref="AK47:AK48"/>
  </mergeCells>
  <phoneticPr fontId="3"/>
  <hyperlinks>
    <hyperlink ref="A1" location="menu!A1" display="menu" xr:uid="{00000000-0004-0000-2400-000000000000}"/>
  </hyperlinks>
  <printOptions horizontalCentered="1"/>
  <pageMargins left="0.78740157480314965" right="0.19685039370078741" top="0.74803149606299213" bottom="0.74803149606299213" header="0.31496062992125984" footer="0.31496062992125984"/>
  <pageSetup paperSize="9" scale="83"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38"/>
  <sheetViews>
    <sheetView showGridLines="0" view="pageBreakPreview" zoomScale="85" zoomScaleNormal="100" zoomScaleSheetLayoutView="85" workbookViewId="0">
      <selection activeCell="E23" sqref="E23:F23"/>
    </sheetView>
  </sheetViews>
  <sheetFormatPr defaultRowHeight="18.75"/>
  <sheetData>
    <row r="1" spans="1:9">
      <c r="A1" s="298" t="s">
        <v>476</v>
      </c>
    </row>
    <row r="7" spans="1:9" ht="18.75" customHeight="1">
      <c r="B7" s="529" t="str">
        <f>+menu!F4</f>
        <v>令和6年度</v>
      </c>
      <c r="C7" s="529"/>
      <c r="D7" s="529"/>
    </row>
    <row r="8" spans="1:9" ht="18.75" customHeight="1">
      <c r="B8" s="529"/>
      <c r="C8" s="529"/>
      <c r="D8" s="529"/>
    </row>
    <row r="9" spans="1:9" ht="18.75" customHeight="1">
      <c r="B9" s="530" t="str">
        <f>+menu!F6</f>
        <v>鶴岡市集落排水事業</v>
      </c>
      <c r="C9" s="530"/>
      <c r="D9" s="530"/>
      <c r="E9" s="530"/>
      <c r="F9" s="530"/>
      <c r="G9" s="530"/>
      <c r="H9" s="530"/>
      <c r="I9" s="530"/>
    </row>
    <row r="10" spans="1:9" ht="18.75" customHeight="1">
      <c r="B10" s="530"/>
      <c r="C10" s="530"/>
      <c r="D10" s="530"/>
      <c r="E10" s="530"/>
      <c r="F10" s="530"/>
      <c r="G10" s="530"/>
      <c r="H10" s="530"/>
      <c r="I10" s="530"/>
    </row>
    <row r="11" spans="1:9" ht="18.75" customHeight="1">
      <c r="B11" s="530" t="str">
        <f>+menu!F8</f>
        <v>三瀬地区No.147-2号マンホールポンプ新設工事</v>
      </c>
      <c r="C11" s="530"/>
      <c r="D11" s="530"/>
      <c r="E11" s="530"/>
      <c r="F11" s="530"/>
      <c r="G11" s="530"/>
      <c r="H11" s="530"/>
      <c r="I11" s="530"/>
    </row>
    <row r="12" spans="1:9" ht="18.75" customHeight="1">
      <c r="B12" s="530"/>
      <c r="C12" s="530"/>
      <c r="D12" s="530"/>
      <c r="E12" s="530"/>
      <c r="F12" s="530"/>
      <c r="G12" s="530"/>
      <c r="H12" s="530"/>
      <c r="I12" s="530"/>
    </row>
    <row r="14" spans="1:9">
      <c r="B14" s="530" t="s">
        <v>214</v>
      </c>
      <c r="C14" s="530"/>
      <c r="D14" s="530"/>
      <c r="E14" s="530"/>
      <c r="F14" s="530"/>
      <c r="G14" s="530"/>
      <c r="H14" s="530"/>
      <c r="I14" s="530"/>
    </row>
    <row r="15" spans="1:9">
      <c r="B15" s="530"/>
      <c r="C15" s="530"/>
      <c r="D15" s="530"/>
      <c r="E15" s="530"/>
      <c r="F15" s="530"/>
      <c r="G15" s="530"/>
      <c r="H15" s="530"/>
      <c r="I15" s="530"/>
    </row>
    <row r="16" spans="1:9">
      <c r="B16" s="530" t="s">
        <v>215</v>
      </c>
      <c r="C16" s="530"/>
      <c r="D16" s="530"/>
      <c r="E16" s="530"/>
      <c r="F16" s="530"/>
      <c r="G16" s="530"/>
      <c r="H16" s="530"/>
      <c r="I16" s="530"/>
    </row>
    <row r="17" spans="2:9">
      <c r="B17" s="530"/>
      <c r="C17" s="530"/>
      <c r="D17" s="530"/>
      <c r="E17" s="530"/>
      <c r="F17" s="530"/>
      <c r="G17" s="530"/>
      <c r="H17" s="530"/>
      <c r="I17" s="530"/>
    </row>
    <row r="20" spans="2:9">
      <c r="B20" s="658" t="str">
        <f>+menu!F12</f>
        <v>No.147-2号マンホールポンプ</v>
      </c>
      <c r="C20" s="659"/>
      <c r="D20" s="659"/>
      <c r="E20" s="659"/>
      <c r="F20" s="659"/>
      <c r="G20" s="659"/>
      <c r="H20" s="659"/>
      <c r="I20" s="659"/>
    </row>
    <row r="21" spans="2:9">
      <c r="B21" s="659"/>
      <c r="C21" s="659"/>
      <c r="D21" s="659"/>
      <c r="E21" s="659"/>
      <c r="F21" s="659"/>
      <c r="G21" s="659"/>
      <c r="H21" s="659"/>
      <c r="I21" s="659"/>
    </row>
    <row r="23" spans="2:9" ht="25.5">
      <c r="E23" s="530" t="s">
        <v>912</v>
      </c>
      <c r="F23" s="532"/>
    </row>
    <row r="35" spans="2:9" ht="18.75" customHeight="1">
      <c r="B35" s="528" t="str">
        <f>+menu!F10</f>
        <v>鶴岡市三瀬　地内</v>
      </c>
      <c r="C35" s="528"/>
      <c r="D35" s="528"/>
      <c r="E35" s="528"/>
      <c r="F35" s="528"/>
      <c r="G35" s="528"/>
      <c r="H35" s="528"/>
      <c r="I35" s="528"/>
    </row>
    <row r="36" spans="2:9" ht="18.75" customHeight="1">
      <c r="B36" s="528"/>
      <c r="C36" s="528"/>
      <c r="D36" s="528"/>
      <c r="E36" s="528"/>
      <c r="F36" s="528"/>
      <c r="G36" s="528"/>
      <c r="H36" s="528"/>
      <c r="I36" s="528"/>
    </row>
    <row r="37" spans="2:9">
      <c r="B37" s="528" t="s">
        <v>211</v>
      </c>
      <c r="C37" s="528"/>
      <c r="D37" s="528"/>
      <c r="E37" s="528"/>
      <c r="F37" s="528"/>
      <c r="G37" s="528"/>
      <c r="H37" s="528"/>
      <c r="I37" s="528"/>
    </row>
    <row r="38" spans="2:9">
      <c r="B38" s="528"/>
      <c r="C38" s="528"/>
      <c r="D38" s="528"/>
      <c r="E38" s="528"/>
      <c r="F38" s="528"/>
      <c r="G38" s="528"/>
      <c r="H38" s="528"/>
      <c r="I38" s="528"/>
    </row>
  </sheetData>
  <mergeCells count="9">
    <mergeCell ref="B35:I36"/>
    <mergeCell ref="B37:I38"/>
    <mergeCell ref="E23:F23"/>
    <mergeCell ref="B7:D8"/>
    <mergeCell ref="B9:I10"/>
    <mergeCell ref="B11:I12"/>
    <mergeCell ref="B14:I15"/>
    <mergeCell ref="B16:I17"/>
    <mergeCell ref="B20:I21"/>
  </mergeCells>
  <phoneticPr fontId="3"/>
  <hyperlinks>
    <hyperlink ref="A1" location="menu!A1" display="menu" xr:uid="{00000000-0004-0000-2500-000000000000}"/>
  </hyperlink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W151"/>
  <sheetViews>
    <sheetView showGridLines="0" view="pageBreakPreview" zoomScaleNormal="100" zoomScaleSheetLayoutView="100" workbookViewId="0">
      <selection activeCell="AX38" sqref="AX38"/>
    </sheetView>
  </sheetViews>
  <sheetFormatPr defaultRowHeight="18.75"/>
  <cols>
    <col min="2" max="49" width="2.625" customWidth="1"/>
  </cols>
  <sheetData>
    <row r="1" spans="1:49">
      <c r="A1" s="298" t="s">
        <v>476</v>
      </c>
    </row>
    <row r="2" spans="1:49" ht="15" customHeight="1">
      <c r="B2" s="596" t="s">
        <v>443</v>
      </c>
      <c r="C2" s="536"/>
      <c r="D2" s="536"/>
      <c r="E2" s="536"/>
      <c r="F2" s="536"/>
      <c r="G2" s="536"/>
      <c r="H2" s="536"/>
      <c r="I2" s="536"/>
      <c r="J2" s="536"/>
      <c r="K2" s="536"/>
      <c r="L2" s="536"/>
      <c r="M2" s="536"/>
      <c r="N2" s="536"/>
      <c r="O2" s="536"/>
      <c r="P2" s="536"/>
      <c r="Q2" s="536"/>
      <c r="R2" s="536"/>
      <c r="S2" s="536"/>
      <c r="T2" s="536"/>
      <c r="U2" s="536"/>
      <c r="V2" s="536"/>
      <c r="W2" s="536"/>
      <c r="X2" s="536"/>
      <c r="Y2" s="597"/>
      <c r="Z2" s="596" t="s">
        <v>444</v>
      </c>
      <c r="AA2" s="536"/>
      <c r="AB2" s="536"/>
      <c r="AC2" s="536"/>
      <c r="AD2" s="536"/>
      <c r="AE2" s="536"/>
      <c r="AF2" s="536"/>
      <c r="AG2" s="536"/>
      <c r="AH2" s="536"/>
      <c r="AI2" s="536"/>
      <c r="AJ2" s="536"/>
      <c r="AK2" s="536"/>
      <c r="AL2" s="536"/>
      <c r="AM2" s="536"/>
      <c r="AN2" s="536"/>
      <c r="AO2" s="536"/>
      <c r="AP2" s="536"/>
      <c r="AQ2" s="536"/>
      <c r="AR2" s="536"/>
      <c r="AS2" s="536"/>
      <c r="AT2" s="536"/>
      <c r="AU2" s="536"/>
      <c r="AV2" s="536"/>
      <c r="AW2" s="597"/>
    </row>
    <row r="3" spans="1:49" ht="15" customHeight="1" thickBot="1">
      <c r="A3" t="s">
        <v>445</v>
      </c>
      <c r="B3" s="598"/>
      <c r="C3" s="599"/>
      <c r="D3" s="599"/>
      <c r="E3" s="599"/>
      <c r="F3" s="599"/>
      <c r="G3" s="599"/>
      <c r="H3" s="599"/>
      <c r="I3" s="599"/>
      <c r="J3" s="599"/>
      <c r="K3" s="599"/>
      <c r="L3" s="599"/>
      <c r="M3" s="599"/>
      <c r="N3" s="599"/>
      <c r="O3" s="599"/>
      <c r="P3" s="599"/>
      <c r="Q3" s="599"/>
      <c r="R3" s="599"/>
      <c r="S3" s="599"/>
      <c r="T3" s="599"/>
      <c r="U3" s="599"/>
      <c r="V3" s="599"/>
      <c r="W3" s="599"/>
      <c r="X3" s="599"/>
      <c r="Y3" s="600"/>
      <c r="Z3" s="598"/>
      <c r="AA3" s="599"/>
      <c r="AB3" s="599"/>
      <c r="AC3" s="599"/>
      <c r="AD3" s="599"/>
      <c r="AE3" s="599"/>
      <c r="AF3" s="599"/>
      <c r="AG3" s="599"/>
      <c r="AH3" s="599"/>
      <c r="AI3" s="599"/>
      <c r="AJ3" s="599"/>
      <c r="AK3" s="599"/>
      <c r="AL3" s="599"/>
      <c r="AM3" s="599"/>
      <c r="AN3" s="599"/>
      <c r="AO3" s="599"/>
      <c r="AP3" s="599"/>
      <c r="AQ3" s="599"/>
      <c r="AR3" s="599"/>
      <c r="AS3" s="599"/>
      <c r="AT3" s="599"/>
      <c r="AU3" s="599"/>
      <c r="AV3" s="599"/>
      <c r="AW3" s="600"/>
    </row>
    <row r="4" spans="1:49" ht="15" customHeight="1" thickTop="1">
      <c r="B4" s="289"/>
      <c r="C4" s="50"/>
      <c r="D4" s="50"/>
      <c r="E4" s="50"/>
      <c r="F4" s="50"/>
      <c r="G4" s="50"/>
      <c r="H4" s="50"/>
      <c r="I4" s="50"/>
      <c r="J4" s="50"/>
      <c r="K4" s="50"/>
      <c r="L4" s="50"/>
      <c r="M4" s="50"/>
      <c r="N4" s="50"/>
      <c r="O4" s="50"/>
      <c r="P4" s="50"/>
      <c r="Q4" s="50"/>
      <c r="R4" s="50"/>
      <c r="S4" s="50"/>
      <c r="T4" s="50"/>
      <c r="U4" s="50"/>
      <c r="V4" s="50"/>
      <c r="W4" s="50"/>
      <c r="X4" s="50"/>
      <c r="Y4" s="290"/>
      <c r="Z4" s="50"/>
      <c r="AA4" s="50"/>
      <c r="AB4" s="50"/>
      <c r="AC4" s="50"/>
      <c r="AD4" s="50"/>
      <c r="AE4" s="50"/>
      <c r="AF4" s="50"/>
      <c r="AG4" s="50"/>
      <c r="AH4" s="50"/>
      <c r="AI4" s="50"/>
      <c r="AJ4" s="50"/>
      <c r="AK4" s="50"/>
      <c r="AL4" s="50"/>
      <c r="AM4" s="50"/>
      <c r="AN4" s="50"/>
      <c r="AO4" s="50"/>
      <c r="AP4" s="50"/>
      <c r="AQ4" s="50"/>
      <c r="AR4" s="50"/>
      <c r="AS4" s="50"/>
      <c r="AT4" s="50"/>
      <c r="AU4" s="50"/>
      <c r="AV4" s="50"/>
      <c r="AW4" s="290"/>
    </row>
    <row r="5" spans="1:49" ht="15" customHeight="1">
      <c r="B5" s="160" t="s">
        <v>923</v>
      </c>
      <c r="C5" s="291"/>
      <c r="D5" s="291"/>
      <c r="E5" s="291"/>
      <c r="F5" s="291"/>
      <c r="G5" s="291"/>
      <c r="H5" s="291"/>
      <c r="I5" s="291"/>
      <c r="J5" s="291"/>
      <c r="K5" s="291"/>
      <c r="L5" s="291"/>
      <c r="M5" s="291"/>
      <c r="N5" s="291"/>
      <c r="O5" s="291"/>
      <c r="P5" s="291"/>
      <c r="Q5" s="291"/>
      <c r="R5" s="291"/>
      <c r="S5" s="291"/>
      <c r="T5" s="291"/>
      <c r="U5" s="291"/>
      <c r="V5" s="291"/>
      <c r="W5" s="291"/>
      <c r="X5" s="291"/>
      <c r="Y5" s="292"/>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2"/>
    </row>
    <row r="6" spans="1:49" ht="15" customHeight="1">
      <c r="B6" s="160"/>
      <c r="C6" s="291"/>
      <c r="D6" s="291"/>
      <c r="E6" s="291"/>
      <c r="F6" s="291"/>
      <c r="G6" s="291"/>
      <c r="H6" s="291"/>
      <c r="I6" s="291"/>
      <c r="J6" s="291"/>
      <c r="K6" s="291"/>
      <c r="L6" s="291"/>
      <c r="M6" s="291"/>
      <c r="N6" s="291"/>
      <c r="O6" s="291"/>
      <c r="P6" s="291"/>
      <c r="Q6" s="291"/>
      <c r="R6" s="291"/>
      <c r="S6" s="291"/>
      <c r="T6" s="291"/>
      <c r="U6" s="291"/>
      <c r="V6" s="291"/>
      <c r="W6" s="291"/>
      <c r="X6" s="291"/>
      <c r="Y6" s="292"/>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2"/>
    </row>
    <row r="7" spans="1:49" ht="15" customHeight="1">
      <c r="B7" s="160"/>
      <c r="C7" s="291" t="s">
        <v>448</v>
      </c>
      <c r="D7" s="291"/>
      <c r="E7" s="291"/>
      <c r="F7" s="291"/>
      <c r="G7" s="291"/>
      <c r="H7" s="291"/>
      <c r="I7" s="291"/>
      <c r="J7" s="291"/>
      <c r="K7" s="291"/>
      <c r="L7" s="291"/>
      <c r="M7" s="291"/>
      <c r="N7" s="291"/>
      <c r="O7" s="291"/>
      <c r="P7" s="291"/>
      <c r="Q7" s="291"/>
      <c r="R7" s="291"/>
      <c r="S7" s="291"/>
      <c r="T7" s="291"/>
      <c r="U7" s="291"/>
      <c r="V7" s="291"/>
      <c r="W7" s="291"/>
      <c r="X7" s="291"/>
      <c r="Y7" s="292"/>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2"/>
    </row>
    <row r="8" spans="1:49" ht="15" customHeight="1">
      <c r="B8" s="160"/>
      <c r="C8" s="291"/>
      <c r="D8" s="291" t="s">
        <v>240</v>
      </c>
      <c r="E8" s="291"/>
      <c r="F8" s="291"/>
      <c r="G8" s="291"/>
      <c r="H8" s="291"/>
      <c r="I8" s="291"/>
      <c r="J8" s="291"/>
      <c r="K8" s="291"/>
      <c r="L8" s="291" t="s">
        <v>573</v>
      </c>
      <c r="M8" s="291"/>
      <c r="N8" s="291"/>
      <c r="O8" s="291"/>
      <c r="P8" s="291"/>
      <c r="Q8" s="291"/>
      <c r="R8" s="291" t="s">
        <v>574</v>
      </c>
      <c r="S8" s="291"/>
      <c r="T8" s="291"/>
      <c r="U8" s="291"/>
      <c r="V8" s="291"/>
      <c r="W8" s="291"/>
      <c r="X8" s="291"/>
      <c r="Y8" s="292"/>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2"/>
    </row>
    <row r="9" spans="1:49" ht="15" customHeight="1">
      <c r="B9" s="160"/>
      <c r="C9" s="291"/>
      <c r="D9" s="291"/>
      <c r="E9" s="291" t="s">
        <v>644</v>
      </c>
      <c r="F9" s="291"/>
      <c r="G9" s="291"/>
      <c r="H9" s="291"/>
      <c r="I9" s="291"/>
      <c r="J9" s="291"/>
      <c r="K9" s="291"/>
      <c r="L9" s="291"/>
      <c r="M9" s="291"/>
      <c r="N9" s="291"/>
      <c r="O9" s="291"/>
      <c r="P9" s="291"/>
      <c r="Q9" s="291"/>
      <c r="R9" s="291"/>
      <c r="S9" s="291"/>
      <c r="T9" s="291"/>
      <c r="U9" s="291"/>
      <c r="V9" s="291"/>
      <c r="W9" s="291"/>
      <c r="X9" s="291"/>
      <c r="Y9" s="292"/>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2"/>
    </row>
    <row r="10" spans="1:49" ht="15" customHeight="1">
      <c r="B10" s="160"/>
      <c r="C10" s="291"/>
      <c r="D10" s="291"/>
      <c r="E10" s="291"/>
      <c r="F10" s="291"/>
      <c r="G10" s="291"/>
      <c r="H10" s="291"/>
      <c r="I10" s="291"/>
      <c r="J10" s="291"/>
      <c r="K10" s="291"/>
      <c r="L10" s="291"/>
      <c r="M10" s="291"/>
      <c r="N10" s="291"/>
      <c r="O10" s="291"/>
      <c r="P10" s="291"/>
      <c r="Q10" s="291"/>
      <c r="R10" s="291"/>
      <c r="S10" s="291"/>
      <c r="T10" s="291"/>
      <c r="U10" s="291"/>
      <c r="V10" s="291"/>
      <c r="W10" s="291"/>
      <c r="X10" s="291"/>
      <c r="Y10" s="292"/>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2"/>
    </row>
    <row r="11" spans="1:49" ht="15" customHeight="1">
      <c r="B11" s="160"/>
      <c r="C11" s="291"/>
      <c r="D11" s="291"/>
      <c r="E11" s="291"/>
      <c r="F11" s="291"/>
      <c r="G11" s="291"/>
      <c r="H11" s="291"/>
      <c r="I11" s="291"/>
      <c r="J11" s="291"/>
      <c r="K11" s="291"/>
      <c r="L11" s="291"/>
      <c r="M11" s="291"/>
      <c r="N11" s="291"/>
      <c r="O11" s="291"/>
      <c r="P11" s="291"/>
      <c r="Q11" s="291"/>
      <c r="R11" s="291"/>
      <c r="S11" s="291"/>
      <c r="T11" s="291"/>
      <c r="U11" s="291"/>
      <c r="V11" s="291"/>
      <c r="W11" s="291"/>
      <c r="X11" s="291"/>
      <c r="Y11" s="292"/>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2"/>
    </row>
    <row r="12" spans="1:49" ht="15" customHeight="1">
      <c r="B12" s="160"/>
      <c r="C12" s="291"/>
      <c r="D12" s="291"/>
      <c r="E12" s="291"/>
      <c r="F12" s="291"/>
      <c r="G12" s="291"/>
      <c r="H12" s="291"/>
      <c r="I12" s="291"/>
      <c r="J12" s="291"/>
      <c r="K12" s="291"/>
      <c r="L12" s="291"/>
      <c r="M12" s="291"/>
      <c r="N12" s="291"/>
      <c r="O12" s="291"/>
      <c r="P12" s="291"/>
      <c r="Q12" s="291"/>
      <c r="R12" s="291"/>
      <c r="S12" s="291"/>
      <c r="T12" s="291"/>
      <c r="U12" s="291"/>
      <c r="V12" s="291"/>
      <c r="W12" s="291"/>
      <c r="X12" s="291"/>
      <c r="Y12" s="292"/>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2"/>
    </row>
    <row r="13" spans="1:49" ht="15" customHeight="1">
      <c r="B13" s="160"/>
      <c r="C13" s="291"/>
      <c r="D13" s="291"/>
      <c r="E13" s="291"/>
      <c r="F13" s="291"/>
      <c r="G13" s="291"/>
      <c r="H13" s="291"/>
      <c r="I13" s="291"/>
      <c r="J13" s="291"/>
      <c r="K13" s="291"/>
      <c r="L13" s="291"/>
      <c r="M13" s="291"/>
      <c r="N13" s="291"/>
      <c r="O13" s="291"/>
      <c r="P13" s="291"/>
      <c r="Q13" s="291"/>
      <c r="R13" s="291"/>
      <c r="S13" s="291"/>
      <c r="T13" s="291"/>
      <c r="U13" s="291"/>
      <c r="V13" s="291"/>
      <c r="W13" s="291"/>
      <c r="X13" s="291"/>
      <c r="Y13" s="292"/>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2"/>
    </row>
    <row r="14" spans="1:49" ht="15" customHeight="1">
      <c r="B14" s="160"/>
      <c r="C14" s="291"/>
      <c r="D14" s="291"/>
      <c r="E14" s="291"/>
      <c r="F14" s="291"/>
      <c r="G14" s="291"/>
      <c r="H14" s="291"/>
      <c r="I14" s="291"/>
      <c r="J14" s="291"/>
      <c r="K14" s="291"/>
      <c r="L14" s="291"/>
      <c r="M14" s="291"/>
      <c r="N14" s="291"/>
      <c r="O14" s="291"/>
      <c r="P14" s="291"/>
      <c r="Q14" s="291"/>
      <c r="R14" s="291"/>
      <c r="S14" s="291"/>
      <c r="T14" s="291"/>
      <c r="U14" s="291"/>
      <c r="V14" s="291"/>
      <c r="W14" s="291"/>
      <c r="X14" s="291"/>
      <c r="Y14" s="292"/>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2"/>
    </row>
    <row r="15" spans="1:49" ht="15" customHeight="1">
      <c r="B15" s="160"/>
      <c r="C15" s="291"/>
      <c r="D15" s="291"/>
      <c r="E15" s="291"/>
      <c r="F15" s="291"/>
      <c r="G15" s="291"/>
      <c r="H15" s="291"/>
      <c r="I15" s="291"/>
      <c r="J15" s="291"/>
      <c r="K15" s="291"/>
      <c r="L15" s="291"/>
      <c r="M15" s="291"/>
      <c r="N15" s="291"/>
      <c r="O15" s="291"/>
      <c r="P15" s="291"/>
      <c r="Q15" s="291"/>
      <c r="R15" s="291"/>
      <c r="S15" s="291"/>
      <c r="T15" s="291"/>
      <c r="U15" s="291"/>
      <c r="V15" s="291"/>
      <c r="W15" s="291"/>
      <c r="X15" s="291"/>
      <c r="Y15" s="292"/>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2"/>
    </row>
    <row r="16" spans="1:49" ht="15" customHeight="1">
      <c r="B16" s="160"/>
      <c r="C16" s="291"/>
      <c r="D16" s="291"/>
      <c r="E16" s="291"/>
      <c r="F16" s="291"/>
      <c r="G16" s="291"/>
      <c r="H16" s="291"/>
      <c r="I16" s="291"/>
      <c r="J16" s="291"/>
      <c r="K16" s="291"/>
      <c r="L16" s="291"/>
      <c r="M16" s="291"/>
      <c r="N16" s="291"/>
      <c r="O16" s="291"/>
      <c r="P16" s="291"/>
      <c r="Q16" s="291"/>
      <c r="R16" s="291"/>
      <c r="S16" s="291"/>
      <c r="T16" s="291"/>
      <c r="U16" s="291"/>
      <c r="V16" s="291"/>
      <c r="W16" s="291"/>
      <c r="X16" s="291"/>
      <c r="Y16" s="292"/>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2"/>
    </row>
    <row r="17" spans="2:49" ht="15" customHeight="1">
      <c r="B17" s="160"/>
      <c r="C17" s="291"/>
      <c r="D17" s="291"/>
      <c r="E17" s="291"/>
      <c r="F17" s="291"/>
      <c r="G17" s="291"/>
      <c r="H17" s="291"/>
      <c r="I17" s="291"/>
      <c r="J17" s="291"/>
      <c r="K17" s="291"/>
      <c r="L17" s="291"/>
      <c r="M17" s="291"/>
      <c r="N17" s="291"/>
      <c r="O17" s="291"/>
      <c r="P17" s="291"/>
      <c r="Q17" s="291"/>
      <c r="R17" s="291"/>
      <c r="S17" s="291"/>
      <c r="T17" s="291"/>
      <c r="U17" s="291"/>
      <c r="V17" s="291"/>
      <c r="W17" s="291"/>
      <c r="X17" s="291"/>
      <c r="Y17" s="292"/>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2"/>
    </row>
    <row r="18" spans="2:49" ht="15" customHeight="1">
      <c r="B18" s="160"/>
      <c r="C18" s="291"/>
      <c r="D18" s="291"/>
      <c r="E18" s="291"/>
      <c r="F18" s="291"/>
      <c r="G18" s="291"/>
      <c r="H18" s="291"/>
      <c r="I18" s="291"/>
      <c r="J18" s="291"/>
      <c r="K18" s="291"/>
      <c r="L18" s="291"/>
      <c r="M18" s="291"/>
      <c r="N18" s="291"/>
      <c r="O18" s="291"/>
      <c r="P18" s="291"/>
      <c r="Q18" s="291"/>
      <c r="R18" s="291"/>
      <c r="S18" s="291"/>
      <c r="T18" s="291"/>
      <c r="U18" s="291"/>
      <c r="V18" s="291"/>
      <c r="W18" s="291"/>
      <c r="X18" s="291"/>
      <c r="Y18" s="292"/>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2"/>
    </row>
    <row r="19" spans="2:49" ht="15" customHeight="1">
      <c r="B19" s="160"/>
      <c r="C19" s="291"/>
      <c r="D19" s="291"/>
      <c r="E19" s="291"/>
      <c r="F19" s="291"/>
      <c r="G19" s="291"/>
      <c r="H19" s="291"/>
      <c r="I19" s="291"/>
      <c r="J19" s="291"/>
      <c r="K19" s="291"/>
      <c r="L19" s="291"/>
      <c r="M19" s="291"/>
      <c r="N19" s="291"/>
      <c r="O19" s="291"/>
      <c r="P19" s="291"/>
      <c r="Q19" s="291"/>
      <c r="R19" s="291"/>
      <c r="S19" s="291"/>
      <c r="T19" s="291"/>
      <c r="U19" s="291"/>
      <c r="V19" s="291"/>
      <c r="W19" s="291"/>
      <c r="X19" s="291"/>
      <c r="Y19" s="292"/>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2"/>
    </row>
    <row r="20" spans="2:49" ht="15" customHeight="1">
      <c r="B20" s="160"/>
      <c r="C20" s="291"/>
      <c r="D20" s="291"/>
      <c r="E20" s="291"/>
      <c r="F20" s="291"/>
      <c r="G20" s="291"/>
      <c r="H20" s="291"/>
      <c r="I20" s="291"/>
      <c r="J20" s="291"/>
      <c r="K20" s="291"/>
      <c r="L20" s="291"/>
      <c r="M20" s="291"/>
      <c r="N20" s="291"/>
      <c r="O20" s="291"/>
      <c r="P20" s="291"/>
      <c r="Q20" s="291"/>
      <c r="R20" s="291"/>
      <c r="S20" s="291"/>
      <c r="T20" s="291"/>
      <c r="U20" s="291"/>
      <c r="V20" s="291"/>
      <c r="W20" s="291"/>
      <c r="X20" s="291"/>
      <c r="Y20" s="292"/>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2"/>
    </row>
    <row r="21" spans="2:49" ht="15" customHeight="1">
      <c r="B21" s="160"/>
      <c r="C21" s="291"/>
      <c r="D21" s="291"/>
      <c r="E21" s="291"/>
      <c r="F21" s="291"/>
      <c r="G21" s="291"/>
      <c r="H21" s="291"/>
      <c r="I21" s="291"/>
      <c r="J21" s="291"/>
      <c r="K21" s="291"/>
      <c r="L21" s="291"/>
      <c r="M21" s="291"/>
      <c r="N21" s="291"/>
      <c r="O21" s="291"/>
      <c r="P21" s="291"/>
      <c r="Q21" s="291"/>
      <c r="R21" s="291"/>
      <c r="S21" s="291"/>
      <c r="T21" s="291"/>
      <c r="U21" s="291"/>
      <c r="V21" s="291"/>
      <c r="W21" s="291"/>
      <c r="X21" s="291"/>
      <c r="Y21" s="292"/>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2"/>
    </row>
    <row r="22" spans="2:49" ht="15" customHeight="1">
      <c r="B22" s="160"/>
      <c r="C22" s="291"/>
      <c r="D22" s="291"/>
      <c r="E22" s="291"/>
      <c r="F22" s="291"/>
      <c r="G22" s="291"/>
      <c r="H22" s="291"/>
      <c r="I22" s="291"/>
      <c r="J22" s="291"/>
      <c r="K22" s="291"/>
      <c r="L22" s="291"/>
      <c r="M22" s="291"/>
      <c r="N22" s="291"/>
      <c r="O22" s="291"/>
      <c r="P22" s="291"/>
      <c r="Q22" s="291"/>
      <c r="R22" s="291"/>
      <c r="S22" s="291"/>
      <c r="T22" s="291"/>
      <c r="U22" s="291"/>
      <c r="V22" s="291"/>
      <c r="W22" s="291"/>
      <c r="X22" s="291"/>
      <c r="Y22" s="292"/>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2"/>
    </row>
    <row r="23" spans="2:49" ht="15" customHeight="1">
      <c r="B23" s="160"/>
      <c r="C23" s="291"/>
      <c r="D23" s="291"/>
      <c r="E23" s="291"/>
      <c r="F23" s="291"/>
      <c r="G23" s="291"/>
      <c r="H23" s="291"/>
      <c r="I23" s="291"/>
      <c r="J23" s="291"/>
      <c r="K23" s="291"/>
      <c r="L23" s="291"/>
      <c r="M23" s="291"/>
      <c r="N23" s="291"/>
      <c r="O23" s="291"/>
      <c r="P23" s="291"/>
      <c r="Q23" s="291"/>
      <c r="R23" s="291"/>
      <c r="S23" s="291"/>
      <c r="T23" s="291"/>
      <c r="U23" s="291"/>
      <c r="V23" s="291"/>
      <c r="W23" s="291"/>
      <c r="X23" s="293"/>
      <c r="Y23" s="292"/>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2"/>
    </row>
    <row r="24" spans="2:49" ht="15" customHeight="1">
      <c r="B24" s="160"/>
      <c r="C24" s="291"/>
      <c r="D24" s="291"/>
      <c r="E24" s="291"/>
      <c r="F24" s="291"/>
      <c r="G24" s="291"/>
      <c r="H24" s="291"/>
      <c r="I24" s="291"/>
      <c r="J24" s="291"/>
      <c r="K24" s="291"/>
      <c r="L24" s="291"/>
      <c r="M24" s="291"/>
      <c r="N24" s="291"/>
      <c r="O24" s="291"/>
      <c r="P24" s="291"/>
      <c r="Q24" s="291"/>
      <c r="R24" s="291"/>
      <c r="S24" s="291"/>
      <c r="T24" s="291"/>
      <c r="U24" s="291"/>
      <c r="V24" s="291"/>
      <c r="W24" s="291"/>
      <c r="X24" s="291"/>
      <c r="Y24" s="292"/>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2"/>
    </row>
    <row r="25" spans="2:49" ht="15" customHeight="1">
      <c r="B25" s="160"/>
      <c r="C25" s="291"/>
      <c r="D25" s="291"/>
      <c r="E25" s="291"/>
      <c r="F25" s="291"/>
      <c r="G25" s="291"/>
      <c r="H25" s="291"/>
      <c r="I25" s="291"/>
      <c r="J25" s="291"/>
      <c r="K25" s="291"/>
      <c r="L25" s="291"/>
      <c r="M25" s="291"/>
      <c r="N25" s="291"/>
      <c r="O25" s="291"/>
      <c r="P25" s="291"/>
      <c r="Q25" s="291"/>
      <c r="R25" s="291"/>
      <c r="S25" s="291"/>
      <c r="T25" s="291"/>
      <c r="U25" s="291"/>
      <c r="V25" s="291"/>
      <c r="W25" s="291"/>
      <c r="X25" s="291"/>
      <c r="Y25" s="292"/>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2"/>
    </row>
    <row r="26" spans="2:49" ht="15" customHeight="1">
      <c r="B26" s="160"/>
      <c r="C26" s="291"/>
      <c r="D26" s="291"/>
      <c r="E26" s="291"/>
      <c r="F26" s="291"/>
      <c r="G26" s="291"/>
      <c r="H26" s="291"/>
      <c r="I26" s="291"/>
      <c r="J26" s="291"/>
      <c r="K26" s="291"/>
      <c r="L26" s="291"/>
      <c r="M26" s="291"/>
      <c r="N26" s="291"/>
      <c r="O26" s="291"/>
      <c r="P26" s="291"/>
      <c r="Q26" s="291"/>
      <c r="R26" s="291"/>
      <c r="S26" s="291"/>
      <c r="T26" s="291"/>
      <c r="U26" s="291"/>
      <c r="V26" s="291"/>
      <c r="W26" s="291"/>
      <c r="X26" s="291"/>
      <c r="Y26" s="292"/>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2"/>
    </row>
    <row r="27" spans="2:49" ht="15" customHeight="1">
      <c r="B27" s="160"/>
      <c r="C27" s="291"/>
      <c r="D27" s="291"/>
      <c r="E27" s="291"/>
      <c r="F27" s="291"/>
      <c r="G27" s="291"/>
      <c r="H27" s="291"/>
      <c r="I27" s="291"/>
      <c r="J27" s="291"/>
      <c r="K27" s="291"/>
      <c r="L27" s="291"/>
      <c r="M27" s="291"/>
      <c r="N27" s="291"/>
      <c r="O27" s="291"/>
      <c r="P27" s="291"/>
      <c r="Q27" s="291"/>
      <c r="R27" s="291"/>
      <c r="S27" s="291"/>
      <c r="T27" s="291"/>
      <c r="U27" s="291"/>
      <c r="V27" s="291"/>
      <c r="W27" s="291"/>
      <c r="X27" s="291"/>
      <c r="Y27" s="292"/>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2"/>
    </row>
    <row r="28" spans="2:49" ht="15" customHeight="1">
      <c r="B28" s="160"/>
      <c r="C28" s="291"/>
      <c r="D28" s="291"/>
      <c r="E28" s="291"/>
      <c r="F28" s="291"/>
      <c r="G28" s="291"/>
      <c r="H28" s="291"/>
      <c r="I28" s="291"/>
      <c r="J28" s="291"/>
      <c r="K28" s="291"/>
      <c r="L28" s="291"/>
      <c r="M28" s="291"/>
      <c r="N28" s="291"/>
      <c r="O28" s="291"/>
      <c r="P28" s="291"/>
      <c r="Q28" s="291"/>
      <c r="R28" s="291"/>
      <c r="S28" s="291"/>
      <c r="T28" s="291"/>
      <c r="U28" s="291"/>
      <c r="V28" s="291"/>
      <c r="W28" s="291"/>
      <c r="X28" s="291"/>
      <c r="Y28" s="292"/>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2"/>
    </row>
    <row r="29" spans="2:49" ht="15" customHeight="1">
      <c r="B29" s="160"/>
      <c r="C29" s="291"/>
      <c r="D29" s="291"/>
      <c r="E29" s="291"/>
      <c r="F29" s="291"/>
      <c r="G29" s="291"/>
      <c r="H29" s="291"/>
      <c r="I29" s="291"/>
      <c r="J29" s="291"/>
      <c r="K29" s="291"/>
      <c r="L29" s="291"/>
      <c r="M29" s="291"/>
      <c r="N29" s="291"/>
      <c r="O29" s="291"/>
      <c r="P29" s="291"/>
      <c r="Q29" s="291"/>
      <c r="R29" s="291"/>
      <c r="S29" s="291"/>
      <c r="T29" s="291"/>
      <c r="U29" s="291"/>
      <c r="V29" s="291"/>
      <c r="W29" s="291"/>
      <c r="X29" s="291"/>
      <c r="Y29" s="292"/>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2"/>
    </row>
    <row r="30" spans="2:49" ht="15" customHeight="1">
      <c r="B30" s="160"/>
      <c r="C30" s="291"/>
      <c r="D30" s="291"/>
      <c r="E30" s="291"/>
      <c r="F30" s="291"/>
      <c r="G30" s="291"/>
      <c r="H30" s="291"/>
      <c r="I30" s="291"/>
      <c r="J30" s="291"/>
      <c r="K30" s="291"/>
      <c r="L30" s="291"/>
      <c r="M30" s="291"/>
      <c r="N30" s="291"/>
      <c r="O30" s="291"/>
      <c r="P30" s="291"/>
      <c r="Q30" s="291"/>
      <c r="R30" s="291"/>
      <c r="S30" s="291"/>
      <c r="T30" s="291"/>
      <c r="U30" s="291"/>
      <c r="V30" s="291"/>
      <c r="W30" s="291"/>
      <c r="X30" s="291"/>
      <c r="Y30" s="292"/>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2"/>
    </row>
    <row r="31" spans="2:49" ht="15" customHeight="1">
      <c r="B31" s="160"/>
      <c r="C31" s="291"/>
      <c r="D31" s="291"/>
      <c r="E31" s="291"/>
      <c r="F31" s="291"/>
      <c r="G31" s="291"/>
      <c r="H31" s="291"/>
      <c r="I31" s="291"/>
      <c r="J31" s="291"/>
      <c r="K31" s="291"/>
      <c r="L31" s="291"/>
      <c r="M31" s="291"/>
      <c r="N31" s="291"/>
      <c r="O31" s="291"/>
      <c r="P31" s="291"/>
      <c r="Q31" s="291"/>
      <c r="R31" s="291"/>
      <c r="S31" s="291"/>
      <c r="T31" s="291"/>
      <c r="U31" s="291"/>
      <c r="V31" s="291"/>
      <c r="W31" s="291"/>
      <c r="X31" s="291"/>
      <c r="Y31" s="292"/>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2"/>
    </row>
    <row r="32" spans="2:49" ht="15" customHeight="1">
      <c r="B32" s="160"/>
      <c r="C32" s="291"/>
      <c r="D32" s="291"/>
      <c r="E32" s="291"/>
      <c r="F32" s="291"/>
      <c r="G32" s="291"/>
      <c r="H32" s="291"/>
      <c r="I32" s="291"/>
      <c r="J32" s="291"/>
      <c r="K32" s="291"/>
      <c r="L32" s="291"/>
      <c r="M32" s="291"/>
      <c r="N32" s="291"/>
      <c r="O32" s="291"/>
      <c r="P32" s="291"/>
      <c r="Q32" s="291"/>
      <c r="R32" s="291"/>
      <c r="S32" s="291"/>
      <c r="T32" s="291"/>
      <c r="U32" s="291"/>
      <c r="V32" s="291"/>
      <c r="W32" s="291"/>
      <c r="X32" s="293"/>
      <c r="Y32" s="292"/>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2"/>
    </row>
    <row r="33" spans="2:49" ht="15" customHeight="1">
      <c r="B33" s="160"/>
      <c r="C33" s="291"/>
      <c r="D33" s="291"/>
      <c r="E33" s="291"/>
      <c r="F33" s="291"/>
      <c r="G33" s="291"/>
      <c r="H33" s="291"/>
      <c r="I33" s="291"/>
      <c r="J33" s="291"/>
      <c r="K33" s="291"/>
      <c r="L33" s="291"/>
      <c r="M33" s="291"/>
      <c r="N33" s="291"/>
      <c r="O33" s="291"/>
      <c r="P33" s="291"/>
      <c r="Q33" s="291"/>
      <c r="R33" s="291"/>
      <c r="S33" s="291"/>
      <c r="T33" s="291"/>
      <c r="U33" s="291"/>
      <c r="V33" s="291"/>
      <c r="W33" s="291"/>
      <c r="X33" s="291"/>
      <c r="Y33" s="292"/>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2"/>
    </row>
    <row r="34" spans="2:49" ht="15" customHeight="1">
      <c r="B34" s="160"/>
      <c r="C34" s="291"/>
      <c r="D34" s="291"/>
      <c r="E34" s="291"/>
      <c r="F34" s="291"/>
      <c r="G34" s="291"/>
      <c r="H34" s="291"/>
      <c r="I34" s="291"/>
      <c r="J34" s="291"/>
      <c r="K34" s="291"/>
      <c r="L34" s="291"/>
      <c r="M34" s="291"/>
      <c r="N34" s="291"/>
      <c r="O34" s="291"/>
      <c r="P34" s="291"/>
      <c r="Q34" s="291"/>
      <c r="R34" s="291"/>
      <c r="S34" s="291"/>
      <c r="T34" s="291"/>
      <c r="U34" s="291"/>
      <c r="V34" s="291"/>
      <c r="W34" s="291"/>
      <c r="X34" s="291"/>
      <c r="Y34" s="292"/>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2"/>
    </row>
    <row r="35" spans="2:49" ht="15" customHeight="1">
      <c r="B35" s="160"/>
      <c r="C35" s="291"/>
      <c r="D35" s="291"/>
      <c r="E35" s="291"/>
      <c r="F35" s="291"/>
      <c r="G35" s="291"/>
      <c r="H35" s="291"/>
      <c r="I35" s="291"/>
      <c r="J35" s="291"/>
      <c r="K35" s="291"/>
      <c r="L35" s="291"/>
      <c r="M35" s="291"/>
      <c r="N35" s="291"/>
      <c r="O35" s="291"/>
      <c r="P35" s="291"/>
      <c r="Q35" s="291"/>
      <c r="R35" s="291"/>
      <c r="S35" s="291"/>
      <c r="T35" s="291"/>
      <c r="U35" s="291"/>
      <c r="V35" s="291"/>
      <c r="W35" s="291"/>
      <c r="X35" s="291"/>
      <c r="Y35" s="292"/>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2"/>
    </row>
    <row r="36" spans="2:49" ht="15" customHeight="1">
      <c r="B36" s="160"/>
      <c r="C36" s="291"/>
      <c r="D36" s="291"/>
      <c r="E36" s="291"/>
      <c r="F36" s="291"/>
      <c r="G36" s="291"/>
      <c r="H36" s="291"/>
      <c r="I36" s="291"/>
      <c r="J36" s="291"/>
      <c r="K36" s="291"/>
      <c r="L36" s="291"/>
      <c r="M36" s="291"/>
      <c r="N36" s="291"/>
      <c r="O36" s="291"/>
      <c r="P36" s="291"/>
      <c r="Q36" s="291"/>
      <c r="R36" s="291"/>
      <c r="S36" s="291"/>
      <c r="T36" s="291"/>
      <c r="U36" s="291"/>
      <c r="V36" s="291"/>
      <c r="W36" s="291"/>
      <c r="X36" s="291"/>
      <c r="Y36" s="292"/>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2"/>
    </row>
    <row r="37" spans="2:49" ht="15" customHeight="1">
      <c r="B37" s="160"/>
      <c r="C37" s="291"/>
      <c r="D37" s="291"/>
      <c r="E37" s="291"/>
      <c r="F37" s="291"/>
      <c r="G37" s="291"/>
      <c r="H37" s="291"/>
      <c r="I37" s="291"/>
      <c r="J37" s="291"/>
      <c r="K37" s="291"/>
      <c r="L37" s="291"/>
      <c r="M37" s="291"/>
      <c r="N37" s="291"/>
      <c r="O37" s="291"/>
      <c r="P37" s="291"/>
      <c r="Q37" s="291"/>
      <c r="R37" s="291"/>
      <c r="S37" s="291"/>
      <c r="T37" s="291"/>
      <c r="U37" s="291"/>
      <c r="V37" s="291"/>
      <c r="W37" s="291"/>
      <c r="X37" s="291"/>
      <c r="Y37" s="292"/>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2"/>
    </row>
    <row r="38" spans="2:49" ht="15" customHeight="1">
      <c r="B38" s="160"/>
      <c r="C38" s="291"/>
      <c r="D38" s="291"/>
      <c r="E38" s="291"/>
      <c r="F38" s="291"/>
      <c r="G38" s="291"/>
      <c r="H38" s="291"/>
      <c r="I38" s="291"/>
      <c r="J38" s="291"/>
      <c r="K38" s="291"/>
      <c r="L38" s="291"/>
      <c r="M38" s="291"/>
      <c r="N38" s="291"/>
      <c r="O38" s="291"/>
      <c r="P38" s="291"/>
      <c r="Q38" s="291"/>
      <c r="R38" s="291"/>
      <c r="S38" s="291"/>
      <c r="T38" s="291"/>
      <c r="U38" s="291"/>
      <c r="V38" s="291"/>
      <c r="W38" s="291"/>
      <c r="X38" s="291"/>
      <c r="Y38" s="292"/>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2"/>
    </row>
    <row r="39" spans="2:49" ht="15" customHeight="1">
      <c r="B39" s="160"/>
      <c r="C39" s="291"/>
      <c r="D39" s="291"/>
      <c r="E39" s="291"/>
      <c r="F39" s="291"/>
      <c r="G39" s="291"/>
      <c r="H39" s="291"/>
      <c r="I39" s="291"/>
      <c r="J39" s="291"/>
      <c r="K39" s="291"/>
      <c r="L39" s="291"/>
      <c r="M39" s="291"/>
      <c r="N39" s="291"/>
      <c r="O39" s="291"/>
      <c r="P39" s="291"/>
      <c r="Q39" s="291"/>
      <c r="R39" s="291"/>
      <c r="S39" s="291"/>
      <c r="T39" s="291"/>
      <c r="U39" s="291"/>
      <c r="V39" s="291"/>
      <c r="W39" s="291"/>
      <c r="X39" s="291"/>
      <c r="Y39" s="292"/>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2"/>
    </row>
    <row r="40" spans="2:49" ht="15" customHeight="1">
      <c r="B40" s="160"/>
      <c r="C40" s="291"/>
      <c r="D40" s="291"/>
      <c r="E40" s="291"/>
      <c r="F40" s="291"/>
      <c r="G40" s="291"/>
      <c r="H40" s="291"/>
      <c r="I40" s="291"/>
      <c r="J40" s="291"/>
      <c r="K40" s="291"/>
      <c r="L40" s="291"/>
      <c r="M40" s="291"/>
      <c r="N40" s="291"/>
      <c r="O40" s="291"/>
      <c r="P40" s="291"/>
      <c r="Q40" s="291"/>
      <c r="R40" s="291"/>
      <c r="S40" s="291"/>
      <c r="T40" s="291"/>
      <c r="U40" s="291"/>
      <c r="V40" s="291"/>
      <c r="W40" s="291"/>
      <c r="X40" s="291"/>
      <c r="Y40" s="292"/>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2"/>
    </row>
    <row r="41" spans="2:49" ht="15" customHeight="1">
      <c r="B41" s="160"/>
      <c r="C41" s="291"/>
      <c r="D41" s="291"/>
      <c r="E41" s="291"/>
      <c r="F41" s="291"/>
      <c r="G41" s="291"/>
      <c r="H41" s="291"/>
      <c r="I41" s="291"/>
      <c r="J41" s="291"/>
      <c r="K41" s="291"/>
      <c r="L41" s="291"/>
      <c r="M41" s="291"/>
      <c r="N41" s="291"/>
      <c r="O41" s="291"/>
      <c r="P41" s="291"/>
      <c r="Q41" s="291"/>
      <c r="R41" s="291"/>
      <c r="S41" s="291"/>
      <c r="T41" s="291"/>
      <c r="U41" s="291"/>
      <c r="V41" s="291"/>
      <c r="W41" s="291"/>
      <c r="X41" s="293"/>
      <c r="Y41" s="292"/>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2"/>
    </row>
    <row r="42" spans="2:49" ht="15" customHeight="1">
      <c r="B42" s="160"/>
      <c r="C42" s="291"/>
      <c r="D42" s="291"/>
      <c r="E42" s="291"/>
      <c r="F42" s="291"/>
      <c r="G42" s="291"/>
      <c r="H42" s="291"/>
      <c r="I42" s="291"/>
      <c r="J42" s="291"/>
      <c r="K42" s="291"/>
      <c r="L42" s="291"/>
      <c r="M42" s="291"/>
      <c r="N42" s="291"/>
      <c r="O42" s="291"/>
      <c r="P42" s="291"/>
      <c r="Q42" s="291"/>
      <c r="R42" s="291"/>
      <c r="S42" s="291"/>
      <c r="T42" s="291"/>
      <c r="U42" s="291"/>
      <c r="V42" s="291"/>
      <c r="W42" s="291"/>
      <c r="X42" s="291"/>
      <c r="Y42" s="292"/>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2"/>
    </row>
    <row r="43" spans="2:49" ht="15" customHeight="1">
      <c r="B43" s="160"/>
      <c r="C43" s="291"/>
      <c r="D43" s="291"/>
      <c r="E43" s="291"/>
      <c r="F43" s="291"/>
      <c r="G43" s="291"/>
      <c r="H43" s="291"/>
      <c r="I43" s="291"/>
      <c r="J43" s="291"/>
      <c r="K43" s="291"/>
      <c r="L43" s="291"/>
      <c r="M43" s="291"/>
      <c r="N43" s="291"/>
      <c r="O43" s="291"/>
      <c r="P43" s="291"/>
      <c r="Q43" s="291"/>
      <c r="R43" s="291"/>
      <c r="S43" s="291"/>
      <c r="T43" s="291"/>
      <c r="U43" s="291"/>
      <c r="V43" s="291"/>
      <c r="W43" s="291"/>
      <c r="X43" s="291"/>
      <c r="Y43" s="292"/>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2"/>
    </row>
    <row r="44" spans="2:49" ht="15" customHeight="1">
      <c r="B44" s="160"/>
      <c r="C44" s="291"/>
      <c r="D44" s="291"/>
      <c r="E44" s="291"/>
      <c r="F44" s="291"/>
      <c r="G44" s="291"/>
      <c r="H44" s="291"/>
      <c r="I44" s="291"/>
      <c r="J44" s="291"/>
      <c r="K44" s="291"/>
      <c r="L44" s="291"/>
      <c r="M44" s="291"/>
      <c r="N44" s="291"/>
      <c r="O44" s="291"/>
      <c r="P44" s="291"/>
      <c r="Q44" s="291"/>
      <c r="R44" s="291"/>
      <c r="S44" s="291"/>
      <c r="T44" s="291"/>
      <c r="U44" s="291"/>
      <c r="V44" s="291"/>
      <c r="W44" s="291"/>
      <c r="X44" s="291"/>
      <c r="Y44" s="292"/>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2"/>
    </row>
    <row r="45" spans="2:49" ht="15" customHeight="1">
      <c r="B45" s="160"/>
      <c r="C45" s="291"/>
      <c r="D45" s="291"/>
      <c r="E45" s="291"/>
      <c r="F45" s="291"/>
      <c r="G45" s="291"/>
      <c r="H45" s="291"/>
      <c r="I45" s="291"/>
      <c r="J45" s="291"/>
      <c r="K45" s="291"/>
      <c r="L45" s="291"/>
      <c r="M45" s="291"/>
      <c r="N45" s="291"/>
      <c r="O45" s="291"/>
      <c r="P45" s="291"/>
      <c r="Q45" s="291"/>
      <c r="R45" s="291"/>
      <c r="S45" s="291"/>
      <c r="T45" s="291"/>
      <c r="U45" s="291"/>
      <c r="V45" s="291"/>
      <c r="W45" s="291"/>
      <c r="X45" s="291"/>
      <c r="Y45" s="292"/>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2"/>
    </row>
    <row r="46" spans="2:49" ht="15" customHeight="1">
      <c r="B46" s="160"/>
      <c r="C46" s="291"/>
      <c r="D46" s="291"/>
      <c r="E46" s="291"/>
      <c r="F46" s="291"/>
      <c r="G46" s="291"/>
      <c r="H46" s="291"/>
      <c r="I46" s="291"/>
      <c r="J46" s="291"/>
      <c r="K46" s="291"/>
      <c r="L46" s="291"/>
      <c r="M46" s="291"/>
      <c r="N46" s="291"/>
      <c r="O46" s="291"/>
      <c r="P46" s="291"/>
      <c r="Q46" s="291"/>
      <c r="R46" s="291"/>
      <c r="S46" s="291"/>
      <c r="T46" s="291"/>
      <c r="U46" s="291"/>
      <c r="V46" s="291"/>
      <c r="W46" s="291"/>
      <c r="X46" s="291"/>
      <c r="Y46" s="292"/>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2"/>
    </row>
    <row r="47" spans="2:49" ht="15" customHeight="1">
      <c r="B47" s="160"/>
      <c r="C47" s="291"/>
      <c r="D47" s="291"/>
      <c r="E47" s="291"/>
      <c r="F47" s="291"/>
      <c r="G47" s="291"/>
      <c r="H47" s="291"/>
      <c r="I47" s="291"/>
      <c r="J47" s="291"/>
      <c r="K47" s="291"/>
      <c r="L47" s="291"/>
      <c r="M47" s="291"/>
      <c r="N47" s="291"/>
      <c r="O47" s="291"/>
      <c r="P47" s="291"/>
      <c r="Q47" s="291"/>
      <c r="R47" s="291"/>
      <c r="S47" s="291"/>
      <c r="T47" s="291"/>
      <c r="U47" s="291"/>
      <c r="V47" s="291"/>
      <c r="W47" s="291"/>
      <c r="X47" s="291"/>
      <c r="Y47" s="292"/>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2"/>
    </row>
    <row r="48" spans="2:49" ht="15" customHeight="1">
      <c r="B48" s="160"/>
      <c r="C48" s="291"/>
      <c r="D48" s="291"/>
      <c r="E48" s="291"/>
      <c r="F48" s="291"/>
      <c r="G48" s="291"/>
      <c r="H48" s="291"/>
      <c r="I48" s="291"/>
      <c r="J48" s="291"/>
      <c r="K48" s="291"/>
      <c r="L48" s="291"/>
      <c r="M48" s="291"/>
      <c r="N48" s="291"/>
      <c r="O48" s="291"/>
      <c r="P48" s="291"/>
      <c r="Q48" s="291"/>
      <c r="R48" s="291"/>
      <c r="S48" s="291"/>
      <c r="T48" s="291"/>
      <c r="U48" s="291"/>
      <c r="V48" s="291"/>
      <c r="W48" s="291"/>
      <c r="X48" s="291"/>
      <c r="Y48" s="292"/>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2"/>
    </row>
    <row r="49" spans="2:49" ht="15" customHeight="1">
      <c r="B49" s="160"/>
      <c r="C49" s="291"/>
      <c r="D49" s="291"/>
      <c r="E49" s="291"/>
      <c r="F49" s="291"/>
      <c r="G49" s="291"/>
      <c r="H49" s="291"/>
      <c r="I49" s="291"/>
      <c r="J49" s="291"/>
      <c r="K49" s="291"/>
      <c r="L49" s="291"/>
      <c r="M49" s="291"/>
      <c r="N49" s="291"/>
      <c r="O49" s="291"/>
      <c r="P49" s="291"/>
      <c r="Q49" s="291"/>
      <c r="R49" s="291"/>
      <c r="S49" s="291"/>
      <c r="T49" s="291"/>
      <c r="U49" s="291"/>
      <c r="V49" s="291"/>
      <c r="W49" s="291"/>
      <c r="X49" s="291"/>
      <c r="Y49" s="292"/>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2"/>
    </row>
    <row r="50" spans="2:49" ht="15" customHeight="1">
      <c r="B50" s="160"/>
      <c r="C50" s="291"/>
      <c r="D50" s="291"/>
      <c r="E50" s="291"/>
      <c r="F50" s="291"/>
      <c r="G50" s="291"/>
      <c r="H50" s="291"/>
      <c r="I50" s="291"/>
      <c r="J50" s="291"/>
      <c r="K50" s="291"/>
      <c r="L50" s="291"/>
      <c r="M50" s="291"/>
      <c r="N50" s="291"/>
      <c r="O50" s="291"/>
      <c r="P50" s="291"/>
      <c r="Q50" s="291"/>
      <c r="R50" s="291"/>
      <c r="S50" s="291"/>
      <c r="T50" s="291"/>
      <c r="U50" s="291"/>
      <c r="V50" s="291"/>
      <c r="W50" s="291"/>
      <c r="X50" s="293"/>
      <c r="Y50" s="292"/>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2"/>
    </row>
    <row r="51" spans="2:49" ht="15" customHeight="1">
      <c r="B51" s="160"/>
      <c r="C51" s="291"/>
      <c r="D51" s="291"/>
      <c r="E51" s="291"/>
      <c r="F51" s="291"/>
      <c r="G51" s="291"/>
      <c r="H51" s="291"/>
      <c r="I51" s="291"/>
      <c r="J51" s="291"/>
      <c r="K51" s="291"/>
      <c r="L51" s="291"/>
      <c r="M51" s="291"/>
      <c r="N51" s="291"/>
      <c r="O51" s="291"/>
      <c r="P51" s="291"/>
      <c r="Q51" s="291"/>
      <c r="R51" s="291"/>
      <c r="S51" s="291"/>
      <c r="T51" s="291"/>
      <c r="U51" s="291"/>
      <c r="V51" s="291"/>
      <c r="W51" s="291"/>
      <c r="X51" s="291"/>
      <c r="Y51" s="292"/>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2"/>
    </row>
    <row r="52" spans="2:49" ht="15" customHeight="1">
      <c r="B52" s="160"/>
      <c r="C52" s="291"/>
      <c r="D52" s="291"/>
      <c r="E52" s="291"/>
      <c r="F52" s="291"/>
      <c r="G52" s="291"/>
      <c r="H52" s="291"/>
      <c r="I52" s="291"/>
      <c r="J52" s="291"/>
      <c r="K52" s="291"/>
      <c r="L52" s="291"/>
      <c r="M52" s="291"/>
      <c r="N52" s="291"/>
      <c r="O52" s="291"/>
      <c r="P52" s="291"/>
      <c r="Q52" s="291"/>
      <c r="R52" s="291"/>
      <c r="S52" s="291"/>
      <c r="T52" s="291"/>
      <c r="U52" s="291"/>
      <c r="V52" s="291"/>
      <c r="W52" s="291"/>
      <c r="X52" s="291"/>
      <c r="Y52" s="292"/>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2"/>
    </row>
    <row r="53" spans="2:49" ht="15" customHeight="1">
      <c r="B53" s="160"/>
      <c r="C53" s="291"/>
      <c r="D53" s="291"/>
      <c r="E53" s="291"/>
      <c r="F53" s="291"/>
      <c r="G53" s="291"/>
      <c r="H53" s="291"/>
      <c r="I53" s="291"/>
      <c r="J53" s="291"/>
      <c r="K53" s="291"/>
      <c r="L53" s="291"/>
      <c r="M53" s="291"/>
      <c r="N53" s="291"/>
      <c r="O53" s="291"/>
      <c r="P53" s="291"/>
      <c r="Q53" s="291"/>
      <c r="R53" s="291"/>
      <c r="S53" s="291"/>
      <c r="T53" s="291"/>
      <c r="U53" s="291"/>
      <c r="V53" s="291"/>
      <c r="W53" s="291"/>
      <c r="X53" s="291"/>
      <c r="Y53" s="292"/>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292"/>
    </row>
    <row r="54" spans="2:49" ht="15" customHeight="1">
      <c r="B54" s="160"/>
      <c r="C54" s="291"/>
      <c r="D54" s="291"/>
      <c r="E54" s="291"/>
      <c r="F54" s="291"/>
      <c r="G54" s="291"/>
      <c r="H54" s="291"/>
      <c r="I54" s="291"/>
      <c r="J54" s="291"/>
      <c r="K54" s="291"/>
      <c r="L54" s="291"/>
      <c r="M54" s="291"/>
      <c r="N54" s="291"/>
      <c r="O54" s="291"/>
      <c r="P54" s="291"/>
      <c r="Q54" s="291"/>
      <c r="R54" s="291"/>
      <c r="S54" s="291"/>
      <c r="T54" s="291"/>
      <c r="U54" s="291"/>
      <c r="V54" s="291"/>
      <c r="W54" s="291"/>
      <c r="X54" s="291"/>
      <c r="Y54" s="292"/>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2"/>
    </row>
    <row r="55" spans="2:49" ht="15" customHeight="1">
      <c r="B55" s="160"/>
      <c r="C55" s="291"/>
      <c r="D55" s="291"/>
      <c r="E55" s="291"/>
      <c r="F55" s="291"/>
      <c r="G55" s="291"/>
      <c r="H55" s="291"/>
      <c r="I55" s="291"/>
      <c r="J55" s="291"/>
      <c r="K55" s="291"/>
      <c r="L55" s="291"/>
      <c r="M55" s="291"/>
      <c r="N55" s="291"/>
      <c r="O55" s="291"/>
      <c r="P55" s="291"/>
      <c r="Q55" s="291"/>
      <c r="R55" s="291"/>
      <c r="S55" s="291"/>
      <c r="T55" s="291"/>
      <c r="U55" s="291"/>
      <c r="V55" s="291"/>
      <c r="W55" s="291"/>
      <c r="X55" s="291"/>
      <c r="Y55" s="292"/>
      <c r="Z55" s="291"/>
      <c r="AA55" s="291"/>
      <c r="AB55" s="291"/>
      <c r="AC55" s="291"/>
      <c r="AD55" s="291"/>
      <c r="AE55" s="291"/>
      <c r="AF55" s="291"/>
      <c r="AG55" s="291"/>
      <c r="AH55" s="291"/>
      <c r="AI55" s="291"/>
      <c r="AJ55" s="291"/>
      <c r="AK55" s="291"/>
      <c r="AL55" s="291"/>
      <c r="AM55" s="291"/>
      <c r="AN55" s="291"/>
      <c r="AO55" s="291"/>
      <c r="AP55" s="291"/>
      <c r="AQ55" s="291"/>
      <c r="AR55" s="291"/>
      <c r="AS55" s="291"/>
      <c r="AT55" s="291"/>
      <c r="AU55" s="291"/>
      <c r="AV55" s="291"/>
      <c r="AW55" s="292"/>
    </row>
    <row r="56" spans="2:49" ht="15" customHeight="1">
      <c r="B56" s="160"/>
      <c r="C56" s="291"/>
      <c r="D56" s="291"/>
      <c r="E56" s="291"/>
      <c r="F56" s="291"/>
      <c r="G56" s="291"/>
      <c r="H56" s="291"/>
      <c r="I56" s="291"/>
      <c r="J56" s="291"/>
      <c r="K56" s="291"/>
      <c r="L56" s="291"/>
      <c r="M56" s="291"/>
      <c r="N56" s="291"/>
      <c r="O56" s="291"/>
      <c r="P56" s="291"/>
      <c r="Q56" s="291"/>
      <c r="R56" s="291"/>
      <c r="S56" s="291"/>
      <c r="T56" s="291"/>
      <c r="U56" s="291"/>
      <c r="V56" s="291"/>
      <c r="W56" s="291"/>
      <c r="X56" s="291"/>
      <c r="Y56" s="292"/>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2"/>
    </row>
    <row r="57" spans="2:49" ht="15" customHeight="1">
      <c r="B57" s="160"/>
      <c r="C57" s="291"/>
      <c r="D57" s="291"/>
      <c r="E57" s="291"/>
      <c r="F57" s="291"/>
      <c r="G57" s="291"/>
      <c r="H57" s="291"/>
      <c r="I57" s="291"/>
      <c r="J57" s="291"/>
      <c r="K57" s="291"/>
      <c r="L57" s="291"/>
      <c r="M57" s="291"/>
      <c r="N57" s="291"/>
      <c r="O57" s="291"/>
      <c r="P57" s="291"/>
      <c r="Q57" s="291"/>
      <c r="R57" s="291"/>
      <c r="S57" s="291"/>
      <c r="T57" s="291"/>
      <c r="U57" s="291"/>
      <c r="V57" s="291"/>
      <c r="W57" s="291"/>
      <c r="X57" s="291"/>
      <c r="Y57" s="292"/>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2"/>
    </row>
    <row r="58" spans="2:49" ht="15" customHeight="1">
      <c r="B58" s="160"/>
      <c r="C58" s="291"/>
      <c r="D58" s="291"/>
      <c r="E58" s="291"/>
      <c r="F58" s="291"/>
      <c r="G58" s="291"/>
      <c r="H58" s="291"/>
      <c r="I58" s="291"/>
      <c r="J58" s="291"/>
      <c r="K58" s="291"/>
      <c r="L58" s="291"/>
      <c r="M58" s="291"/>
      <c r="N58" s="291"/>
      <c r="O58" s="291"/>
      <c r="P58" s="291"/>
      <c r="Q58" s="291"/>
      <c r="R58" s="291"/>
      <c r="S58" s="291"/>
      <c r="T58" s="291"/>
      <c r="U58" s="291"/>
      <c r="V58" s="291"/>
      <c r="W58" s="291"/>
      <c r="X58" s="291"/>
      <c r="Y58" s="292"/>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2"/>
    </row>
    <row r="59" spans="2:49" ht="15" customHeight="1">
      <c r="B59" s="160"/>
      <c r="C59" s="291"/>
      <c r="D59" s="291"/>
      <c r="E59" s="291"/>
      <c r="F59" s="291"/>
      <c r="G59" s="291"/>
      <c r="H59" s="291"/>
      <c r="I59" s="291"/>
      <c r="J59" s="291"/>
      <c r="K59" s="291"/>
      <c r="L59" s="291"/>
      <c r="M59" s="291"/>
      <c r="N59" s="291"/>
      <c r="O59" s="291"/>
      <c r="P59" s="291"/>
      <c r="Q59" s="291"/>
      <c r="R59" s="291"/>
      <c r="S59" s="291"/>
      <c r="T59" s="291"/>
      <c r="U59" s="291"/>
      <c r="V59" s="291"/>
      <c r="W59" s="291"/>
      <c r="X59" s="293"/>
      <c r="Y59" s="292"/>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2"/>
    </row>
    <row r="60" spans="2:49" ht="15" customHeight="1">
      <c r="B60" s="160"/>
      <c r="C60" s="291"/>
      <c r="D60" s="291"/>
      <c r="E60" s="291"/>
      <c r="F60" s="291"/>
      <c r="G60" s="291"/>
      <c r="H60" s="291"/>
      <c r="I60" s="291"/>
      <c r="J60" s="291"/>
      <c r="K60" s="291"/>
      <c r="L60" s="291"/>
      <c r="M60" s="291"/>
      <c r="N60" s="291"/>
      <c r="O60" s="291"/>
      <c r="P60" s="291"/>
      <c r="Q60" s="291"/>
      <c r="R60" s="291"/>
      <c r="S60" s="291"/>
      <c r="T60" s="291"/>
      <c r="U60" s="291"/>
      <c r="V60" s="291"/>
      <c r="W60" s="291"/>
      <c r="X60" s="291"/>
      <c r="Y60" s="292"/>
      <c r="Z60" s="291"/>
      <c r="AA60" s="291"/>
      <c r="AB60" s="291"/>
      <c r="AC60" s="291"/>
      <c r="AD60" s="291"/>
      <c r="AE60" s="291"/>
      <c r="AF60" s="291"/>
      <c r="AG60" s="291"/>
      <c r="AH60" s="291"/>
      <c r="AI60" s="291"/>
      <c r="AJ60" s="291"/>
      <c r="AK60" s="291"/>
      <c r="AL60" s="291"/>
      <c r="AM60" s="291"/>
      <c r="AN60" s="291"/>
      <c r="AO60" s="291"/>
      <c r="AP60" s="291"/>
      <c r="AQ60" s="291"/>
      <c r="AR60" s="291"/>
      <c r="AS60" s="291"/>
      <c r="AT60" s="291"/>
      <c r="AU60" s="291"/>
      <c r="AV60" s="291"/>
      <c r="AW60" s="292"/>
    </row>
    <row r="61" spans="2:49" ht="15" customHeight="1">
      <c r="B61" s="160"/>
      <c r="C61" s="291"/>
      <c r="D61" s="291"/>
      <c r="E61" s="291"/>
      <c r="F61" s="291"/>
      <c r="G61" s="291"/>
      <c r="H61" s="291"/>
      <c r="I61" s="291"/>
      <c r="J61" s="291"/>
      <c r="K61" s="291"/>
      <c r="L61" s="291"/>
      <c r="M61" s="291"/>
      <c r="N61" s="291"/>
      <c r="O61" s="291"/>
      <c r="P61" s="291"/>
      <c r="Q61" s="291"/>
      <c r="R61" s="291"/>
      <c r="S61" s="291"/>
      <c r="T61" s="291"/>
      <c r="U61" s="291"/>
      <c r="V61" s="291"/>
      <c r="W61" s="291"/>
      <c r="X61" s="291"/>
      <c r="Y61" s="292"/>
      <c r="Z61" s="291"/>
      <c r="AA61" s="291"/>
      <c r="AB61" s="291"/>
      <c r="AC61" s="291"/>
      <c r="AD61" s="291"/>
      <c r="AE61" s="291"/>
      <c r="AF61" s="291"/>
      <c r="AG61" s="291"/>
      <c r="AH61" s="291"/>
      <c r="AI61" s="291"/>
      <c r="AJ61" s="291"/>
      <c r="AK61" s="291"/>
      <c r="AL61" s="291"/>
      <c r="AM61" s="291"/>
      <c r="AN61" s="291"/>
      <c r="AO61" s="291"/>
      <c r="AP61" s="291"/>
      <c r="AQ61" s="291"/>
      <c r="AR61" s="291"/>
      <c r="AS61" s="291"/>
      <c r="AT61" s="291"/>
      <c r="AU61" s="291"/>
      <c r="AV61" s="291"/>
      <c r="AW61" s="292"/>
    </row>
    <row r="62" spans="2:49" ht="15" customHeight="1">
      <c r="B62" s="160"/>
      <c r="C62" s="291"/>
      <c r="D62" s="291"/>
      <c r="E62" s="291"/>
      <c r="F62" s="291"/>
      <c r="G62" s="291"/>
      <c r="H62" s="291"/>
      <c r="I62" s="291"/>
      <c r="J62" s="291"/>
      <c r="K62" s="291"/>
      <c r="L62" s="291"/>
      <c r="M62" s="291"/>
      <c r="N62" s="291"/>
      <c r="O62" s="291"/>
      <c r="P62" s="291"/>
      <c r="Q62" s="291"/>
      <c r="R62" s="291"/>
      <c r="S62" s="291"/>
      <c r="T62" s="291"/>
      <c r="U62" s="291"/>
      <c r="V62" s="291"/>
      <c r="W62" s="291"/>
      <c r="X62" s="291"/>
      <c r="Y62" s="292"/>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2"/>
    </row>
    <row r="63" spans="2:49" ht="15" customHeight="1">
      <c r="B63" s="160"/>
      <c r="C63" s="291"/>
      <c r="D63" s="291"/>
      <c r="E63" s="291"/>
      <c r="F63" s="291"/>
      <c r="G63" s="291"/>
      <c r="H63" s="291"/>
      <c r="I63" s="291"/>
      <c r="J63" s="291"/>
      <c r="K63" s="291"/>
      <c r="L63" s="291"/>
      <c r="M63" s="291"/>
      <c r="N63" s="291"/>
      <c r="O63" s="291"/>
      <c r="P63" s="291"/>
      <c r="Q63" s="291"/>
      <c r="R63" s="291"/>
      <c r="S63" s="291"/>
      <c r="T63" s="291"/>
      <c r="U63" s="291"/>
      <c r="V63" s="291"/>
      <c r="W63" s="291"/>
      <c r="X63" s="291"/>
      <c r="Y63" s="292"/>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2"/>
    </row>
    <row r="64" spans="2:49" ht="15" customHeight="1">
      <c r="B64" s="160"/>
      <c r="C64" s="291"/>
      <c r="D64" s="291"/>
      <c r="E64" s="291"/>
      <c r="F64" s="291"/>
      <c r="G64" s="291"/>
      <c r="H64" s="291"/>
      <c r="I64" s="291"/>
      <c r="J64" s="291"/>
      <c r="K64" s="291"/>
      <c r="L64" s="291"/>
      <c r="M64" s="291"/>
      <c r="N64" s="291"/>
      <c r="O64" s="291"/>
      <c r="P64" s="291"/>
      <c r="Q64" s="291"/>
      <c r="R64" s="291"/>
      <c r="S64" s="291"/>
      <c r="T64" s="291"/>
      <c r="U64" s="291"/>
      <c r="V64" s="291"/>
      <c r="W64" s="291"/>
      <c r="X64" s="293"/>
      <c r="Y64" s="292"/>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2"/>
    </row>
    <row r="65" spans="2:49" ht="15" customHeight="1">
      <c r="B65" s="160"/>
      <c r="C65" s="291"/>
      <c r="D65" s="291"/>
      <c r="E65" s="291"/>
      <c r="F65" s="291"/>
      <c r="G65" s="291"/>
      <c r="H65" s="291"/>
      <c r="I65" s="291"/>
      <c r="J65" s="291"/>
      <c r="K65" s="291"/>
      <c r="L65" s="291"/>
      <c r="M65" s="291"/>
      <c r="N65" s="291"/>
      <c r="O65" s="291"/>
      <c r="P65" s="291"/>
      <c r="Q65" s="291"/>
      <c r="R65" s="291"/>
      <c r="S65" s="291"/>
      <c r="T65" s="291"/>
      <c r="U65" s="291"/>
      <c r="V65" s="291"/>
      <c r="W65" s="291"/>
      <c r="X65" s="291"/>
      <c r="Y65" s="292"/>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2"/>
    </row>
    <row r="66" spans="2:49" ht="15" customHeight="1">
      <c r="B66" s="160"/>
      <c r="C66" s="291"/>
      <c r="D66" s="291"/>
      <c r="E66" s="291"/>
      <c r="F66" s="291"/>
      <c r="G66" s="291"/>
      <c r="H66" s="291"/>
      <c r="I66" s="291"/>
      <c r="J66" s="291"/>
      <c r="K66" s="291"/>
      <c r="L66" s="291"/>
      <c r="M66" s="291"/>
      <c r="N66" s="291"/>
      <c r="O66" s="291"/>
      <c r="P66" s="291"/>
      <c r="Q66" s="291"/>
      <c r="R66" s="291"/>
      <c r="S66" s="291"/>
      <c r="T66" s="291"/>
      <c r="U66" s="291"/>
      <c r="V66" s="291"/>
      <c r="W66" s="291"/>
      <c r="X66" s="291"/>
      <c r="Y66" s="292"/>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1"/>
      <c r="AW66" s="292"/>
    </row>
    <row r="67" spans="2:49" ht="15" customHeight="1">
      <c r="B67" s="160"/>
      <c r="C67" s="291"/>
      <c r="D67" s="291"/>
      <c r="E67" s="291"/>
      <c r="F67" s="291"/>
      <c r="G67" s="291"/>
      <c r="H67" s="291"/>
      <c r="I67" s="291"/>
      <c r="J67" s="291"/>
      <c r="K67" s="291"/>
      <c r="L67" s="291"/>
      <c r="M67" s="291"/>
      <c r="N67" s="291"/>
      <c r="O67" s="291"/>
      <c r="P67" s="291"/>
      <c r="Q67" s="291"/>
      <c r="R67" s="291"/>
      <c r="S67" s="291"/>
      <c r="T67" s="291"/>
      <c r="U67" s="291"/>
      <c r="V67" s="291"/>
      <c r="W67" s="291"/>
      <c r="X67" s="291"/>
      <c r="Y67" s="292"/>
      <c r="Z67" s="291"/>
      <c r="AA67" s="291"/>
      <c r="AB67" s="291"/>
      <c r="AC67" s="291"/>
      <c r="AD67" s="291"/>
      <c r="AE67" s="291"/>
      <c r="AF67" s="291"/>
      <c r="AG67" s="291"/>
      <c r="AH67" s="291"/>
      <c r="AI67" s="291"/>
      <c r="AJ67" s="291"/>
      <c r="AK67" s="291"/>
      <c r="AL67" s="291"/>
      <c r="AM67" s="291"/>
      <c r="AN67" s="291"/>
      <c r="AO67" s="291"/>
      <c r="AP67" s="291"/>
      <c r="AQ67" s="291"/>
      <c r="AR67" s="291"/>
      <c r="AS67" s="291"/>
      <c r="AT67" s="291"/>
      <c r="AU67" s="291"/>
      <c r="AV67" s="291"/>
      <c r="AW67" s="292"/>
    </row>
    <row r="68" spans="2:49" ht="15" customHeight="1">
      <c r="B68" s="160"/>
      <c r="C68" s="291"/>
      <c r="D68" s="291"/>
      <c r="E68" s="291"/>
      <c r="F68" s="291"/>
      <c r="G68" s="291"/>
      <c r="H68" s="291"/>
      <c r="I68" s="291"/>
      <c r="J68" s="291"/>
      <c r="K68" s="291"/>
      <c r="L68" s="291"/>
      <c r="M68" s="291"/>
      <c r="N68" s="291"/>
      <c r="O68" s="291"/>
      <c r="P68" s="291"/>
      <c r="Q68" s="291"/>
      <c r="R68" s="291"/>
      <c r="S68" s="291"/>
      <c r="T68" s="291"/>
      <c r="U68" s="291"/>
      <c r="V68" s="291"/>
      <c r="W68" s="291"/>
      <c r="X68" s="291"/>
      <c r="Y68" s="292"/>
      <c r="Z68" s="291"/>
      <c r="AA68" s="291"/>
      <c r="AB68" s="291"/>
      <c r="AC68" s="291"/>
      <c r="AD68" s="291"/>
      <c r="AE68" s="291"/>
      <c r="AF68" s="291"/>
      <c r="AG68" s="291"/>
      <c r="AH68" s="291"/>
      <c r="AI68" s="291"/>
      <c r="AJ68" s="291"/>
      <c r="AK68" s="291"/>
      <c r="AL68" s="291"/>
      <c r="AM68" s="291"/>
      <c r="AN68" s="291"/>
      <c r="AO68" s="291"/>
      <c r="AP68" s="291"/>
      <c r="AQ68" s="291"/>
      <c r="AR68" s="291"/>
      <c r="AS68" s="291"/>
      <c r="AT68" s="291"/>
      <c r="AU68" s="291"/>
      <c r="AV68" s="291"/>
      <c r="AW68" s="292"/>
    </row>
    <row r="69" spans="2:49" ht="15" customHeight="1">
      <c r="B69" s="160"/>
      <c r="C69" s="291"/>
      <c r="D69" s="291"/>
      <c r="E69" s="291"/>
      <c r="F69" s="291"/>
      <c r="G69" s="291"/>
      <c r="H69" s="291"/>
      <c r="I69" s="291"/>
      <c r="J69" s="291"/>
      <c r="K69" s="291"/>
      <c r="L69" s="291"/>
      <c r="M69" s="291"/>
      <c r="N69" s="291"/>
      <c r="O69" s="291"/>
      <c r="P69" s="291"/>
      <c r="Q69" s="291"/>
      <c r="R69" s="291"/>
      <c r="S69" s="291"/>
      <c r="T69" s="291"/>
      <c r="U69" s="291"/>
      <c r="V69" s="291"/>
      <c r="W69" s="291"/>
      <c r="X69" s="291"/>
      <c r="Y69" s="292"/>
      <c r="Z69" s="291"/>
      <c r="AA69" s="291"/>
      <c r="AB69" s="291"/>
      <c r="AC69" s="291"/>
      <c r="AD69" s="291"/>
      <c r="AE69" s="291"/>
      <c r="AF69" s="291"/>
      <c r="AG69" s="291"/>
      <c r="AH69" s="291"/>
      <c r="AI69" s="291"/>
      <c r="AJ69" s="291"/>
      <c r="AK69" s="291"/>
      <c r="AL69" s="291"/>
      <c r="AM69" s="291"/>
      <c r="AN69" s="291"/>
      <c r="AO69" s="291"/>
      <c r="AP69" s="291"/>
      <c r="AQ69" s="291"/>
      <c r="AR69" s="291"/>
      <c r="AS69" s="291"/>
      <c r="AT69" s="291"/>
      <c r="AU69" s="291"/>
      <c r="AV69" s="291"/>
      <c r="AW69" s="292"/>
    </row>
    <row r="70" spans="2:49" ht="15" customHeight="1">
      <c r="B70" s="160"/>
      <c r="C70" s="291"/>
      <c r="D70" s="291"/>
      <c r="E70" s="291"/>
      <c r="F70" s="291"/>
      <c r="G70" s="291"/>
      <c r="H70" s="291"/>
      <c r="I70" s="291"/>
      <c r="J70" s="291"/>
      <c r="K70" s="291"/>
      <c r="L70" s="291"/>
      <c r="M70" s="291"/>
      <c r="N70" s="291"/>
      <c r="O70" s="291"/>
      <c r="P70" s="291"/>
      <c r="Q70" s="291"/>
      <c r="R70" s="291"/>
      <c r="S70" s="291"/>
      <c r="T70" s="291"/>
      <c r="U70" s="291"/>
      <c r="V70" s="291"/>
      <c r="W70" s="291"/>
      <c r="X70" s="291"/>
      <c r="Y70" s="292"/>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291"/>
      <c r="AV70" s="291"/>
      <c r="AW70" s="292"/>
    </row>
    <row r="71" spans="2:49" ht="15" customHeight="1">
      <c r="B71" s="160"/>
      <c r="C71" s="291"/>
      <c r="D71" s="291"/>
      <c r="E71" s="291"/>
      <c r="F71" s="291"/>
      <c r="G71" s="291"/>
      <c r="H71" s="291"/>
      <c r="I71" s="291"/>
      <c r="J71" s="291"/>
      <c r="K71" s="291"/>
      <c r="L71" s="291"/>
      <c r="M71" s="291"/>
      <c r="N71" s="291"/>
      <c r="O71" s="291"/>
      <c r="P71" s="291"/>
      <c r="Q71" s="291"/>
      <c r="R71" s="291"/>
      <c r="S71" s="291"/>
      <c r="T71" s="291"/>
      <c r="U71" s="291"/>
      <c r="V71" s="291"/>
      <c r="W71" s="291"/>
      <c r="X71" s="291"/>
      <c r="Y71" s="292"/>
      <c r="Z71" s="291"/>
      <c r="AA71" s="291"/>
      <c r="AB71" s="291"/>
      <c r="AC71" s="291"/>
      <c r="AD71" s="291"/>
      <c r="AE71" s="291"/>
      <c r="AF71" s="291"/>
      <c r="AG71" s="291"/>
      <c r="AH71" s="291"/>
      <c r="AI71" s="291"/>
      <c r="AJ71" s="291"/>
      <c r="AK71" s="291"/>
      <c r="AL71" s="291"/>
      <c r="AM71" s="291"/>
      <c r="AN71" s="291"/>
      <c r="AO71" s="291"/>
      <c r="AP71" s="291"/>
      <c r="AQ71" s="291"/>
      <c r="AR71" s="291"/>
      <c r="AS71" s="291"/>
      <c r="AT71" s="291"/>
      <c r="AU71" s="291"/>
      <c r="AV71" s="291"/>
      <c r="AW71" s="292"/>
    </row>
    <row r="72" spans="2:49" ht="15" customHeight="1">
      <c r="B72" s="160"/>
      <c r="C72" s="291"/>
      <c r="D72" s="291"/>
      <c r="E72" s="291"/>
      <c r="F72" s="291"/>
      <c r="G72" s="291"/>
      <c r="H72" s="291"/>
      <c r="I72" s="291"/>
      <c r="J72" s="291"/>
      <c r="K72" s="291"/>
      <c r="L72" s="291"/>
      <c r="M72" s="291"/>
      <c r="N72" s="291"/>
      <c r="O72" s="291"/>
      <c r="P72" s="291"/>
      <c r="Q72" s="291"/>
      <c r="R72" s="291"/>
      <c r="S72" s="291"/>
      <c r="T72" s="291"/>
      <c r="U72" s="291"/>
      <c r="V72" s="291"/>
      <c r="W72" s="291"/>
      <c r="X72" s="291"/>
      <c r="Y72" s="292"/>
      <c r="Z72" s="291"/>
      <c r="AA72" s="291"/>
      <c r="AB72" s="291"/>
      <c r="AC72" s="291"/>
      <c r="AD72" s="291"/>
      <c r="AE72" s="291"/>
      <c r="AF72" s="291"/>
      <c r="AG72" s="291"/>
      <c r="AH72" s="291"/>
      <c r="AI72" s="291"/>
      <c r="AJ72" s="291"/>
      <c r="AK72" s="291"/>
      <c r="AL72" s="291"/>
      <c r="AM72" s="291"/>
      <c r="AN72" s="291"/>
      <c r="AO72" s="291"/>
      <c r="AP72" s="291"/>
      <c r="AQ72" s="291"/>
      <c r="AR72" s="291"/>
      <c r="AS72" s="291"/>
      <c r="AT72" s="291"/>
      <c r="AU72" s="291"/>
      <c r="AV72" s="291"/>
      <c r="AW72" s="292"/>
    </row>
    <row r="73" spans="2:49" ht="15" customHeight="1">
      <c r="B73" s="160"/>
      <c r="C73" s="291"/>
      <c r="D73" s="291"/>
      <c r="E73" s="291"/>
      <c r="F73" s="291"/>
      <c r="G73" s="291"/>
      <c r="H73" s="291"/>
      <c r="I73" s="291"/>
      <c r="J73" s="291"/>
      <c r="K73" s="291"/>
      <c r="L73" s="291"/>
      <c r="M73" s="291"/>
      <c r="N73" s="291"/>
      <c r="O73" s="291"/>
      <c r="P73" s="291"/>
      <c r="Q73" s="291"/>
      <c r="R73" s="291"/>
      <c r="S73" s="291"/>
      <c r="T73" s="291"/>
      <c r="U73" s="291"/>
      <c r="V73" s="291"/>
      <c r="W73" s="291"/>
      <c r="X73" s="291"/>
      <c r="Y73" s="292"/>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2"/>
    </row>
    <row r="74" spans="2:49" ht="15" customHeight="1">
      <c r="B74" s="160"/>
      <c r="C74" s="291"/>
      <c r="D74" s="291"/>
      <c r="E74" s="291"/>
      <c r="F74" s="291"/>
      <c r="G74" s="291"/>
      <c r="H74" s="291"/>
      <c r="I74" s="291"/>
      <c r="J74" s="291"/>
      <c r="K74" s="291"/>
      <c r="L74" s="291"/>
      <c r="M74" s="291"/>
      <c r="N74" s="291"/>
      <c r="O74" s="291"/>
      <c r="P74" s="291"/>
      <c r="Q74" s="291"/>
      <c r="R74" s="291"/>
      <c r="S74" s="291"/>
      <c r="T74" s="291"/>
      <c r="U74" s="291"/>
      <c r="V74" s="291"/>
      <c r="W74" s="291"/>
      <c r="X74" s="291"/>
      <c r="Y74" s="292"/>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2"/>
    </row>
    <row r="75" spans="2:49" ht="15" customHeight="1">
      <c r="B75" s="160"/>
      <c r="C75" s="291"/>
      <c r="D75" s="291"/>
      <c r="E75" s="291"/>
      <c r="F75" s="291"/>
      <c r="G75" s="291"/>
      <c r="H75" s="291"/>
      <c r="I75" s="291"/>
      <c r="J75" s="291"/>
      <c r="K75" s="291"/>
      <c r="L75" s="291"/>
      <c r="M75" s="291"/>
      <c r="N75" s="291"/>
      <c r="O75" s="291"/>
      <c r="P75" s="291"/>
      <c r="Q75" s="291"/>
      <c r="R75" s="291"/>
      <c r="S75" s="291"/>
      <c r="T75" s="291"/>
      <c r="U75" s="291"/>
      <c r="V75" s="291"/>
      <c r="W75" s="291"/>
      <c r="X75" s="291"/>
      <c r="Y75" s="292"/>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1"/>
      <c r="AW75" s="292"/>
    </row>
    <row r="76" spans="2:49" ht="15" customHeight="1">
      <c r="B76" s="160"/>
      <c r="C76" s="291"/>
      <c r="D76" s="291"/>
      <c r="E76" s="291"/>
      <c r="F76" s="291"/>
      <c r="G76" s="291"/>
      <c r="H76" s="291"/>
      <c r="I76" s="291"/>
      <c r="J76" s="291"/>
      <c r="K76" s="291"/>
      <c r="L76" s="291"/>
      <c r="M76" s="291"/>
      <c r="N76" s="291"/>
      <c r="O76" s="291"/>
      <c r="P76" s="291"/>
      <c r="Q76" s="291"/>
      <c r="R76" s="291"/>
      <c r="S76" s="291"/>
      <c r="T76" s="291"/>
      <c r="U76" s="291"/>
      <c r="V76" s="291"/>
      <c r="W76" s="291"/>
      <c r="X76" s="291"/>
      <c r="Y76" s="292"/>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1"/>
      <c r="AW76" s="292"/>
    </row>
    <row r="77" spans="2:49" ht="15" customHeight="1">
      <c r="B77" s="160"/>
      <c r="C77" s="291"/>
      <c r="D77" s="291"/>
      <c r="E77" s="291"/>
      <c r="F77" s="291"/>
      <c r="G77" s="291"/>
      <c r="H77" s="291"/>
      <c r="I77" s="291"/>
      <c r="J77" s="291"/>
      <c r="K77" s="291"/>
      <c r="L77" s="291"/>
      <c r="M77" s="291"/>
      <c r="N77" s="291"/>
      <c r="O77" s="291"/>
      <c r="P77" s="291"/>
      <c r="Q77" s="291"/>
      <c r="R77" s="291"/>
      <c r="S77" s="291"/>
      <c r="T77" s="291"/>
      <c r="U77" s="291"/>
      <c r="V77" s="291"/>
      <c r="W77" s="291"/>
      <c r="X77" s="291"/>
      <c r="Y77" s="292"/>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2"/>
    </row>
    <row r="78" spans="2:49" ht="15" customHeight="1">
      <c r="B78" s="161"/>
      <c r="C78" s="294"/>
      <c r="D78" s="294"/>
      <c r="E78" s="294"/>
      <c r="F78" s="294"/>
      <c r="G78" s="294"/>
      <c r="H78" s="294"/>
      <c r="I78" s="294"/>
      <c r="J78" s="294"/>
      <c r="K78" s="294"/>
      <c r="L78" s="294"/>
      <c r="M78" s="294"/>
      <c r="N78" s="294"/>
      <c r="O78" s="294"/>
      <c r="P78" s="294"/>
      <c r="Q78" s="294"/>
      <c r="R78" s="294"/>
      <c r="S78" s="294"/>
      <c r="T78" s="294"/>
      <c r="U78" s="294"/>
      <c r="V78" s="294"/>
      <c r="W78" s="294"/>
      <c r="X78" s="294"/>
      <c r="Y78" s="295"/>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5"/>
    </row>
    <row r="79" spans="2:49" ht="15" customHeight="1">
      <c r="B79" s="160"/>
      <c r="C79" s="291"/>
      <c r="D79" s="291"/>
      <c r="E79" s="291"/>
      <c r="F79" s="291"/>
      <c r="G79" s="291"/>
      <c r="H79" s="291"/>
      <c r="I79" s="291"/>
      <c r="J79" s="291"/>
      <c r="K79" s="291"/>
      <c r="L79" s="291"/>
      <c r="M79" s="291"/>
      <c r="N79" s="291"/>
      <c r="O79" s="291"/>
      <c r="P79" s="291"/>
      <c r="Q79" s="291"/>
      <c r="R79" s="291"/>
      <c r="S79" s="291"/>
      <c r="T79" s="291"/>
      <c r="U79" s="291"/>
      <c r="V79" s="291"/>
      <c r="W79" s="291"/>
      <c r="X79" s="291"/>
      <c r="Y79" s="292"/>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2"/>
    </row>
    <row r="80" spans="2:49" ht="15" customHeight="1">
      <c r="B80" s="160" t="s">
        <v>454</v>
      </c>
      <c r="C80" s="291"/>
      <c r="D80" s="291"/>
      <c r="E80" s="291"/>
      <c r="F80" s="291"/>
      <c r="G80" s="291"/>
      <c r="H80" s="291"/>
      <c r="I80" s="291"/>
      <c r="J80" s="291"/>
      <c r="K80" s="291"/>
      <c r="L80" s="291"/>
      <c r="M80" s="291"/>
      <c r="N80" s="291"/>
      <c r="O80" s="291"/>
      <c r="P80" s="291"/>
      <c r="Q80" s="291"/>
      <c r="R80" s="291"/>
      <c r="S80" s="291"/>
      <c r="T80" s="291"/>
      <c r="U80" s="291"/>
      <c r="V80" s="291"/>
      <c r="W80" s="291"/>
      <c r="X80" s="291"/>
      <c r="Y80" s="292"/>
      <c r="Z80" s="291"/>
      <c r="AA80" s="291"/>
      <c r="AB80" s="291"/>
      <c r="AC80" s="291"/>
      <c r="AD80" s="291"/>
      <c r="AE80" s="291"/>
      <c r="AF80" s="291"/>
      <c r="AG80" s="291"/>
      <c r="AH80" s="291"/>
      <c r="AI80" s="291"/>
      <c r="AJ80" s="291"/>
      <c r="AK80" s="291"/>
      <c r="AL80" s="291"/>
      <c r="AM80" s="291"/>
      <c r="AN80" s="291"/>
      <c r="AO80" s="291"/>
      <c r="AP80" s="291"/>
      <c r="AQ80" s="291"/>
      <c r="AR80" s="291"/>
      <c r="AS80" s="291"/>
      <c r="AT80" s="291"/>
      <c r="AU80" s="291"/>
      <c r="AV80" s="291"/>
      <c r="AW80" s="292"/>
    </row>
    <row r="81" spans="2:49" ht="15" customHeight="1">
      <c r="B81" s="160"/>
      <c r="C81" s="291" t="s">
        <v>446</v>
      </c>
      <c r="D81" s="291"/>
      <c r="E81" s="291"/>
      <c r="F81" s="291"/>
      <c r="G81" s="291"/>
      <c r="H81" s="291"/>
      <c r="I81" s="291"/>
      <c r="J81" s="291"/>
      <c r="K81" s="291"/>
      <c r="L81" s="291"/>
      <c r="M81" s="291"/>
      <c r="N81" s="291"/>
      <c r="O81" s="291"/>
      <c r="P81" s="291"/>
      <c r="Q81" s="291"/>
      <c r="R81" s="291"/>
      <c r="S81" s="291"/>
      <c r="T81" s="291"/>
      <c r="U81" s="291"/>
      <c r="V81" s="291"/>
      <c r="W81" s="291"/>
      <c r="X81" s="291"/>
      <c r="Y81" s="292"/>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2"/>
    </row>
    <row r="82" spans="2:49" ht="15" customHeight="1">
      <c r="B82" s="160"/>
      <c r="C82" s="291" t="s">
        <v>447</v>
      </c>
      <c r="D82" s="291"/>
      <c r="E82" s="291"/>
      <c r="F82" s="291"/>
      <c r="G82" s="291"/>
      <c r="H82" s="291"/>
      <c r="I82" s="291"/>
      <c r="J82" s="291"/>
      <c r="K82" s="291"/>
      <c r="L82" s="291" t="s">
        <v>451</v>
      </c>
      <c r="M82" s="291"/>
      <c r="N82" s="291"/>
      <c r="O82" s="291"/>
      <c r="P82" s="291"/>
      <c r="Q82" s="291"/>
      <c r="R82" s="291"/>
      <c r="S82" s="291"/>
      <c r="T82" s="291"/>
      <c r="U82" s="291"/>
      <c r="V82" s="291"/>
      <c r="W82" s="291"/>
      <c r="X82" s="291"/>
      <c r="Y82" s="292"/>
      <c r="Z82" s="291"/>
      <c r="AA82" s="291"/>
      <c r="AB82" s="291"/>
      <c r="AC82" s="291"/>
      <c r="AD82" s="291"/>
      <c r="AE82" s="291"/>
      <c r="AF82" s="291"/>
      <c r="AG82" s="291"/>
      <c r="AH82" s="291"/>
      <c r="AI82" s="291"/>
      <c r="AJ82" s="291"/>
      <c r="AK82" s="291"/>
      <c r="AL82" s="291"/>
      <c r="AM82" s="291"/>
      <c r="AN82" s="291"/>
      <c r="AO82" s="291"/>
      <c r="AP82" s="291"/>
      <c r="AQ82" s="291"/>
      <c r="AR82" s="291"/>
      <c r="AS82" s="291"/>
      <c r="AT82" s="291"/>
      <c r="AU82" s="291"/>
      <c r="AV82" s="291"/>
      <c r="AW82" s="292"/>
    </row>
    <row r="83" spans="2:49" ht="15" customHeight="1">
      <c r="B83" s="160"/>
      <c r="C83" s="291"/>
      <c r="D83" s="291"/>
      <c r="E83" s="291" t="s">
        <v>452</v>
      </c>
      <c r="F83" s="291"/>
      <c r="G83" s="291"/>
      <c r="H83" s="291"/>
      <c r="I83" s="291"/>
      <c r="J83" s="291"/>
      <c r="K83" s="291"/>
      <c r="L83" s="291"/>
      <c r="M83" s="291"/>
      <c r="N83" s="291"/>
      <c r="O83" s="291"/>
      <c r="P83" s="291"/>
      <c r="Q83" s="291"/>
      <c r="R83" s="291"/>
      <c r="S83" s="291"/>
      <c r="T83" s="291"/>
      <c r="U83" s="291"/>
      <c r="V83" s="291"/>
      <c r="W83" s="291"/>
      <c r="X83" s="291"/>
      <c r="Y83" s="292"/>
      <c r="Z83" s="291"/>
      <c r="AA83" s="291"/>
      <c r="AB83" s="291"/>
      <c r="AC83" s="291"/>
      <c r="AD83" s="291"/>
      <c r="AE83" s="291"/>
      <c r="AF83" s="291"/>
      <c r="AG83" s="291"/>
      <c r="AH83" s="291"/>
      <c r="AI83" s="291"/>
      <c r="AJ83" s="291"/>
      <c r="AK83" s="291"/>
      <c r="AL83" s="291"/>
      <c r="AM83" s="291"/>
      <c r="AN83" s="291"/>
      <c r="AO83" s="291"/>
      <c r="AP83" s="291"/>
      <c r="AQ83" s="291"/>
      <c r="AR83" s="291"/>
      <c r="AS83" s="291"/>
      <c r="AT83" s="291"/>
      <c r="AU83" s="291"/>
      <c r="AV83" s="291"/>
      <c r="AW83" s="292"/>
    </row>
    <row r="84" spans="2:49" ht="15" customHeight="1">
      <c r="B84" s="160"/>
      <c r="C84" s="291"/>
      <c r="D84" s="291"/>
      <c r="E84" s="291" t="s">
        <v>455</v>
      </c>
      <c r="F84" s="291"/>
      <c r="G84" s="291"/>
      <c r="H84" s="291"/>
      <c r="I84" s="291"/>
      <c r="J84" s="291"/>
      <c r="K84" s="291"/>
      <c r="L84" s="291"/>
      <c r="M84" s="291"/>
      <c r="N84" s="291"/>
      <c r="O84" s="291"/>
      <c r="P84" s="291"/>
      <c r="Q84" s="291"/>
      <c r="R84" s="291"/>
      <c r="S84" s="291"/>
      <c r="T84" s="291"/>
      <c r="U84" s="291"/>
      <c r="V84" s="291"/>
      <c r="W84" s="291"/>
      <c r="X84" s="291"/>
      <c r="Y84" s="292"/>
      <c r="Z84" s="291"/>
      <c r="AA84" s="291"/>
      <c r="AB84" s="291"/>
      <c r="AC84" s="291"/>
      <c r="AD84" s="291"/>
      <c r="AE84" s="291"/>
      <c r="AF84" s="291"/>
      <c r="AG84" s="291"/>
      <c r="AH84" s="291"/>
      <c r="AI84" s="291"/>
      <c r="AJ84" s="291"/>
      <c r="AK84" s="291"/>
      <c r="AL84" s="291"/>
      <c r="AM84" s="291"/>
      <c r="AN84" s="291"/>
      <c r="AO84" s="291"/>
      <c r="AP84" s="291"/>
      <c r="AQ84" s="291"/>
      <c r="AR84" s="291"/>
      <c r="AS84" s="291"/>
      <c r="AT84" s="291"/>
      <c r="AU84" s="291"/>
      <c r="AV84" s="291"/>
      <c r="AW84" s="292"/>
    </row>
    <row r="85" spans="2:49" ht="15" customHeight="1">
      <c r="B85" s="160"/>
      <c r="C85" s="291" t="s">
        <v>448</v>
      </c>
      <c r="D85" s="291"/>
      <c r="E85" s="291"/>
      <c r="F85" s="291"/>
      <c r="G85" s="291"/>
      <c r="H85" s="291"/>
      <c r="I85" s="291"/>
      <c r="J85" s="291"/>
      <c r="K85" s="291"/>
      <c r="L85" s="291"/>
      <c r="M85" s="291"/>
      <c r="N85" s="291"/>
      <c r="O85" s="291"/>
      <c r="P85" s="291"/>
      <c r="Q85" s="291"/>
      <c r="R85" s="291"/>
      <c r="S85" s="291"/>
      <c r="T85" s="291"/>
      <c r="U85" s="291"/>
      <c r="V85" s="291"/>
      <c r="W85" s="291"/>
      <c r="X85" s="291"/>
      <c r="Y85" s="292"/>
      <c r="Z85" s="291"/>
      <c r="AA85" s="291"/>
      <c r="AB85" s="291"/>
      <c r="AC85" s="291"/>
      <c r="AD85" s="291"/>
      <c r="AE85" s="291"/>
      <c r="AF85" s="291"/>
      <c r="AG85" s="291"/>
      <c r="AH85" s="291"/>
      <c r="AI85" s="291"/>
      <c r="AJ85" s="291"/>
      <c r="AK85" s="291"/>
      <c r="AL85" s="291"/>
      <c r="AM85" s="291"/>
      <c r="AN85" s="291"/>
      <c r="AO85" s="291"/>
      <c r="AP85" s="291"/>
      <c r="AQ85" s="291"/>
      <c r="AR85" s="291"/>
      <c r="AS85" s="291"/>
      <c r="AT85" s="291"/>
      <c r="AU85" s="291"/>
      <c r="AV85" s="291"/>
      <c r="AW85" s="292"/>
    </row>
    <row r="86" spans="2:49" ht="15" customHeight="1">
      <c r="B86" s="160"/>
      <c r="C86" s="291"/>
      <c r="D86" s="291" t="s">
        <v>240</v>
      </c>
      <c r="E86" s="291"/>
      <c r="F86" s="291"/>
      <c r="G86" s="291"/>
      <c r="H86" s="291"/>
      <c r="I86" s="291"/>
      <c r="J86" s="291"/>
      <c r="K86" s="291"/>
      <c r="L86" s="291" t="s">
        <v>449</v>
      </c>
      <c r="M86" s="291"/>
      <c r="N86" s="291"/>
      <c r="O86" s="291"/>
      <c r="P86" s="291"/>
      <c r="Q86" s="291"/>
      <c r="R86" s="291"/>
      <c r="S86" s="291"/>
      <c r="T86" s="291"/>
      <c r="U86" s="291"/>
      <c r="V86" s="291"/>
      <c r="W86" s="291"/>
      <c r="X86" s="291"/>
      <c r="Y86" s="292"/>
      <c r="Z86" s="291"/>
      <c r="AA86" s="291"/>
      <c r="AB86" s="291"/>
      <c r="AC86" s="291"/>
      <c r="AD86" s="291"/>
      <c r="AE86" s="291"/>
      <c r="AF86" s="291"/>
      <c r="AG86" s="291"/>
      <c r="AH86" s="291"/>
      <c r="AI86" s="291"/>
      <c r="AJ86" s="291"/>
      <c r="AK86" s="291"/>
      <c r="AL86" s="291"/>
      <c r="AM86" s="291"/>
      <c r="AN86" s="291"/>
      <c r="AO86" s="291"/>
      <c r="AP86" s="291"/>
      <c r="AQ86" s="291"/>
      <c r="AR86" s="291"/>
      <c r="AS86" s="291"/>
      <c r="AT86" s="291"/>
      <c r="AU86" s="291"/>
      <c r="AV86" s="291"/>
      <c r="AW86" s="292"/>
    </row>
    <row r="87" spans="2:49" ht="15" customHeight="1">
      <c r="B87" s="160"/>
      <c r="C87" s="291"/>
      <c r="D87" s="291"/>
      <c r="E87" s="291" t="s">
        <v>453</v>
      </c>
      <c r="F87" s="291"/>
      <c r="G87" s="291"/>
      <c r="H87" s="291"/>
      <c r="I87" s="291"/>
      <c r="J87" s="291"/>
      <c r="K87" s="291"/>
      <c r="L87" s="291"/>
      <c r="M87" s="291"/>
      <c r="N87" s="291"/>
      <c r="O87" s="291"/>
      <c r="P87" s="291"/>
      <c r="Q87" s="291"/>
      <c r="R87" s="291"/>
      <c r="S87" s="291"/>
      <c r="T87" s="291"/>
      <c r="U87" s="291"/>
      <c r="V87" s="291"/>
      <c r="W87" s="291"/>
      <c r="X87" s="291"/>
      <c r="Y87" s="292"/>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2"/>
    </row>
    <row r="88" spans="2:49" ht="15" customHeight="1">
      <c r="B88" s="160"/>
      <c r="C88" s="291"/>
      <c r="D88" s="291"/>
      <c r="E88" s="291"/>
      <c r="F88" s="291"/>
      <c r="G88" s="291"/>
      <c r="H88" s="291"/>
      <c r="I88" s="291"/>
      <c r="J88" s="291"/>
      <c r="K88" s="291"/>
      <c r="L88" s="291"/>
      <c r="M88" s="291"/>
      <c r="N88" s="291"/>
      <c r="O88" s="291"/>
      <c r="P88" s="291"/>
      <c r="Q88" s="291"/>
      <c r="R88" s="291"/>
      <c r="S88" s="291"/>
      <c r="T88" s="291"/>
      <c r="U88" s="291"/>
      <c r="V88" s="291"/>
      <c r="W88" s="291"/>
      <c r="X88" s="291"/>
      <c r="Y88" s="292"/>
      <c r="Z88" s="291"/>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1"/>
      <c r="AW88" s="292"/>
    </row>
    <row r="89" spans="2:49" ht="15" customHeight="1">
      <c r="B89" s="160" t="s">
        <v>456</v>
      </c>
      <c r="C89" s="291"/>
      <c r="D89" s="291"/>
      <c r="E89" s="291"/>
      <c r="F89" s="291"/>
      <c r="G89" s="291"/>
      <c r="H89" s="291"/>
      <c r="I89" s="291"/>
      <c r="J89" s="291"/>
      <c r="K89" s="291"/>
      <c r="L89" s="291"/>
      <c r="M89" s="291"/>
      <c r="N89" s="291"/>
      <c r="O89" s="291"/>
      <c r="P89" s="291"/>
      <c r="Q89" s="291"/>
      <c r="R89" s="291"/>
      <c r="S89" s="291"/>
      <c r="T89" s="291"/>
      <c r="U89" s="291"/>
      <c r="V89" s="291"/>
      <c r="W89" s="291"/>
      <c r="X89" s="291"/>
      <c r="Y89" s="292"/>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2"/>
    </row>
    <row r="90" spans="2:49" ht="15" customHeight="1">
      <c r="B90" s="160"/>
      <c r="C90" s="291" t="s">
        <v>446</v>
      </c>
      <c r="D90" s="291"/>
      <c r="E90" s="291"/>
      <c r="F90" s="291"/>
      <c r="G90" s="291"/>
      <c r="H90" s="291"/>
      <c r="I90" s="291"/>
      <c r="J90" s="291"/>
      <c r="K90" s="291"/>
      <c r="L90" s="291"/>
      <c r="M90" s="291"/>
      <c r="N90" s="291"/>
      <c r="O90" s="291"/>
      <c r="P90" s="291"/>
      <c r="Q90" s="291"/>
      <c r="R90" s="291"/>
      <c r="S90" s="291"/>
      <c r="T90" s="291"/>
      <c r="U90" s="291"/>
      <c r="V90" s="291"/>
      <c r="W90" s="291"/>
      <c r="X90" s="291"/>
      <c r="Y90" s="292"/>
      <c r="Z90" s="291"/>
      <c r="AA90" s="291"/>
      <c r="AB90" s="291"/>
      <c r="AC90" s="291"/>
      <c r="AD90" s="291"/>
      <c r="AE90" s="291"/>
      <c r="AF90" s="291"/>
      <c r="AG90" s="291"/>
      <c r="AH90" s="291"/>
      <c r="AI90" s="291"/>
      <c r="AJ90" s="291"/>
      <c r="AK90" s="291"/>
      <c r="AL90" s="291"/>
      <c r="AM90" s="291"/>
      <c r="AN90" s="291"/>
      <c r="AO90" s="291"/>
      <c r="AP90" s="291"/>
      <c r="AQ90" s="291"/>
      <c r="AR90" s="291"/>
      <c r="AS90" s="291"/>
      <c r="AT90" s="291"/>
      <c r="AU90" s="291"/>
      <c r="AV90" s="291"/>
      <c r="AW90" s="292"/>
    </row>
    <row r="91" spans="2:49" ht="15" customHeight="1">
      <c r="B91" s="160"/>
      <c r="C91" s="291" t="s">
        <v>447</v>
      </c>
      <c r="D91" s="291"/>
      <c r="E91" s="291"/>
      <c r="F91" s="291"/>
      <c r="G91" s="291"/>
      <c r="H91" s="291"/>
      <c r="I91" s="291"/>
      <c r="J91" s="291"/>
      <c r="K91" s="291"/>
      <c r="L91" s="291" t="s">
        <v>451</v>
      </c>
      <c r="M91" s="291"/>
      <c r="N91" s="291"/>
      <c r="O91" s="291"/>
      <c r="P91" s="291"/>
      <c r="Q91" s="291"/>
      <c r="R91" s="291"/>
      <c r="S91" s="291"/>
      <c r="T91" s="291"/>
      <c r="U91" s="291"/>
      <c r="V91" s="291"/>
      <c r="W91" s="291"/>
      <c r="X91" s="291"/>
      <c r="Y91" s="292"/>
      <c r="Z91" s="291"/>
      <c r="AA91" s="291"/>
      <c r="AB91" s="291"/>
      <c r="AC91" s="291"/>
      <c r="AD91" s="291"/>
      <c r="AE91" s="291"/>
      <c r="AF91" s="291"/>
      <c r="AG91" s="291"/>
      <c r="AH91" s="291"/>
      <c r="AI91" s="291"/>
      <c r="AJ91" s="291"/>
      <c r="AK91" s="291"/>
      <c r="AL91" s="291"/>
      <c r="AM91" s="291"/>
      <c r="AN91" s="291"/>
      <c r="AO91" s="291"/>
      <c r="AP91" s="291"/>
      <c r="AQ91" s="291"/>
      <c r="AR91" s="291"/>
      <c r="AS91" s="291"/>
      <c r="AT91" s="291"/>
      <c r="AU91" s="291"/>
      <c r="AV91" s="291"/>
      <c r="AW91" s="292"/>
    </row>
    <row r="92" spans="2:49" ht="15" customHeight="1">
      <c r="B92" s="160"/>
      <c r="C92" s="291"/>
      <c r="D92" s="291"/>
      <c r="E92" s="291" t="s">
        <v>452</v>
      </c>
      <c r="F92" s="291"/>
      <c r="G92" s="291"/>
      <c r="H92" s="291"/>
      <c r="I92" s="291"/>
      <c r="J92" s="291"/>
      <c r="K92" s="291"/>
      <c r="L92" s="291"/>
      <c r="M92" s="291"/>
      <c r="N92" s="291"/>
      <c r="O92" s="291"/>
      <c r="P92" s="291"/>
      <c r="Q92" s="291"/>
      <c r="R92" s="291"/>
      <c r="S92" s="291"/>
      <c r="T92" s="291"/>
      <c r="U92" s="291"/>
      <c r="V92" s="291"/>
      <c r="W92" s="291"/>
      <c r="X92" s="291"/>
      <c r="Y92" s="292"/>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1"/>
      <c r="AW92" s="292"/>
    </row>
    <row r="93" spans="2:49" ht="15" customHeight="1">
      <c r="B93" s="160"/>
      <c r="C93" s="291"/>
      <c r="D93" s="291"/>
      <c r="E93" s="291" t="s">
        <v>457</v>
      </c>
      <c r="F93" s="291"/>
      <c r="G93" s="291"/>
      <c r="H93" s="291"/>
      <c r="I93" s="291"/>
      <c r="J93" s="291"/>
      <c r="K93" s="291"/>
      <c r="L93" s="291"/>
      <c r="M93" s="291"/>
      <c r="N93" s="291"/>
      <c r="O93" s="291"/>
      <c r="P93" s="291"/>
      <c r="Q93" s="291"/>
      <c r="R93" s="291"/>
      <c r="S93" s="291"/>
      <c r="T93" s="291"/>
      <c r="U93" s="291"/>
      <c r="V93" s="291"/>
      <c r="W93" s="291"/>
      <c r="X93" s="291"/>
      <c r="Y93" s="292"/>
      <c r="Z93" s="291"/>
      <c r="AA93" s="291"/>
      <c r="AB93" s="291"/>
      <c r="AC93" s="291"/>
      <c r="AD93" s="291"/>
      <c r="AE93" s="291"/>
      <c r="AF93" s="291"/>
      <c r="AG93" s="291"/>
      <c r="AH93" s="291"/>
      <c r="AI93" s="291"/>
      <c r="AJ93" s="291"/>
      <c r="AK93" s="291"/>
      <c r="AL93" s="291"/>
      <c r="AM93" s="291"/>
      <c r="AN93" s="291"/>
      <c r="AO93" s="291"/>
      <c r="AP93" s="291"/>
      <c r="AQ93" s="291"/>
      <c r="AR93" s="291"/>
      <c r="AS93" s="291"/>
      <c r="AT93" s="291"/>
      <c r="AU93" s="291"/>
      <c r="AV93" s="291"/>
      <c r="AW93" s="292"/>
    </row>
    <row r="94" spans="2:49" ht="15" customHeight="1">
      <c r="B94" s="160"/>
      <c r="C94" s="291" t="s">
        <v>448</v>
      </c>
      <c r="D94" s="291"/>
      <c r="E94" s="291"/>
      <c r="F94" s="291"/>
      <c r="G94" s="291"/>
      <c r="H94" s="291"/>
      <c r="I94" s="291"/>
      <c r="J94" s="291"/>
      <c r="K94" s="291"/>
      <c r="L94" s="291"/>
      <c r="M94" s="291"/>
      <c r="N94" s="291"/>
      <c r="O94" s="291"/>
      <c r="P94" s="291"/>
      <c r="Q94" s="291"/>
      <c r="R94" s="291"/>
      <c r="S94" s="291"/>
      <c r="T94" s="291"/>
      <c r="U94" s="291"/>
      <c r="V94" s="291"/>
      <c r="W94" s="291"/>
      <c r="X94" s="291"/>
      <c r="Y94" s="292"/>
      <c r="Z94" s="291"/>
      <c r="AA94" s="291"/>
      <c r="AB94" s="291"/>
      <c r="AC94" s="291"/>
      <c r="AD94" s="291"/>
      <c r="AE94" s="291"/>
      <c r="AF94" s="291"/>
      <c r="AG94" s="291"/>
      <c r="AH94" s="291"/>
      <c r="AI94" s="291"/>
      <c r="AJ94" s="291"/>
      <c r="AK94" s="291"/>
      <c r="AL94" s="291"/>
      <c r="AM94" s="291"/>
      <c r="AN94" s="291"/>
      <c r="AO94" s="291"/>
      <c r="AP94" s="291"/>
      <c r="AQ94" s="291"/>
      <c r="AR94" s="291"/>
      <c r="AS94" s="291"/>
      <c r="AT94" s="291"/>
      <c r="AU94" s="291"/>
      <c r="AV94" s="291"/>
      <c r="AW94" s="292"/>
    </row>
    <row r="95" spans="2:49" ht="15" customHeight="1">
      <c r="B95" s="160"/>
      <c r="C95" s="291"/>
      <c r="D95" s="291" t="s">
        <v>240</v>
      </c>
      <c r="E95" s="291"/>
      <c r="F95" s="291"/>
      <c r="G95" s="291"/>
      <c r="H95" s="291"/>
      <c r="I95" s="291"/>
      <c r="J95" s="291"/>
      <c r="K95" s="291"/>
      <c r="L95" s="291" t="s">
        <v>449</v>
      </c>
      <c r="M95" s="291"/>
      <c r="N95" s="291"/>
      <c r="O95" s="291"/>
      <c r="P95" s="291"/>
      <c r="Q95" s="291"/>
      <c r="R95" s="291"/>
      <c r="S95" s="291"/>
      <c r="T95" s="291"/>
      <c r="U95" s="291"/>
      <c r="V95" s="291"/>
      <c r="W95" s="291"/>
      <c r="X95" s="291"/>
      <c r="Y95" s="292"/>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2"/>
    </row>
    <row r="96" spans="2:49" ht="15" customHeight="1">
      <c r="B96" s="160"/>
      <c r="C96" s="291"/>
      <c r="D96" s="291"/>
      <c r="E96" s="291" t="s">
        <v>453</v>
      </c>
      <c r="F96" s="291"/>
      <c r="G96" s="291"/>
      <c r="H96" s="291"/>
      <c r="I96" s="291"/>
      <c r="J96" s="291"/>
      <c r="K96" s="291"/>
      <c r="L96" s="291"/>
      <c r="M96" s="291"/>
      <c r="N96" s="291"/>
      <c r="O96" s="291"/>
      <c r="P96" s="291"/>
      <c r="Q96" s="291"/>
      <c r="R96" s="291"/>
      <c r="S96" s="291"/>
      <c r="T96" s="291"/>
      <c r="U96" s="291"/>
      <c r="V96" s="291"/>
      <c r="W96" s="291"/>
      <c r="X96" s="291"/>
      <c r="Y96" s="292"/>
      <c r="Z96" s="291"/>
      <c r="AA96" s="291"/>
      <c r="AB96" s="291"/>
      <c r="AC96" s="291"/>
      <c r="AD96" s="291"/>
      <c r="AE96" s="291"/>
      <c r="AF96" s="291"/>
      <c r="AG96" s="291"/>
      <c r="AH96" s="291"/>
      <c r="AI96" s="291"/>
      <c r="AJ96" s="291"/>
      <c r="AK96" s="291"/>
      <c r="AL96" s="291"/>
      <c r="AM96" s="291"/>
      <c r="AN96" s="291"/>
      <c r="AO96" s="291"/>
      <c r="AP96" s="291"/>
      <c r="AQ96" s="291"/>
      <c r="AR96" s="291"/>
      <c r="AS96" s="291"/>
      <c r="AT96" s="291"/>
      <c r="AU96" s="291"/>
      <c r="AV96" s="291"/>
      <c r="AW96" s="292"/>
    </row>
    <row r="97" spans="2:49" ht="15" customHeight="1">
      <c r="B97" s="160"/>
      <c r="C97" s="291"/>
      <c r="D97" s="291"/>
      <c r="E97" s="291"/>
      <c r="F97" s="291"/>
      <c r="G97" s="291"/>
      <c r="H97" s="291"/>
      <c r="I97" s="291"/>
      <c r="J97" s="291"/>
      <c r="K97" s="291"/>
      <c r="L97" s="291"/>
      <c r="M97" s="291"/>
      <c r="N97" s="291"/>
      <c r="O97" s="291"/>
      <c r="P97" s="291"/>
      <c r="Q97" s="291"/>
      <c r="R97" s="291"/>
      <c r="S97" s="291"/>
      <c r="T97" s="291"/>
      <c r="U97" s="291"/>
      <c r="V97" s="291"/>
      <c r="W97" s="291"/>
      <c r="X97" s="291"/>
      <c r="Y97" s="292"/>
      <c r="Z97" s="291"/>
      <c r="AA97" s="291"/>
      <c r="AB97" s="291"/>
      <c r="AC97" s="291"/>
      <c r="AD97" s="291"/>
      <c r="AE97" s="291"/>
      <c r="AF97" s="291"/>
      <c r="AG97" s="291"/>
      <c r="AH97" s="291"/>
      <c r="AI97" s="291"/>
      <c r="AJ97" s="291"/>
      <c r="AK97" s="291"/>
      <c r="AL97" s="291"/>
      <c r="AM97" s="291"/>
      <c r="AN97" s="291"/>
      <c r="AO97" s="291"/>
      <c r="AP97" s="291"/>
      <c r="AQ97" s="291"/>
      <c r="AR97" s="291"/>
      <c r="AS97" s="291"/>
      <c r="AT97" s="291"/>
      <c r="AU97" s="291"/>
      <c r="AV97" s="291"/>
      <c r="AW97" s="292"/>
    </row>
    <row r="98" spans="2:49" ht="15" customHeight="1">
      <c r="B98" s="160" t="s">
        <v>458</v>
      </c>
      <c r="C98" s="291"/>
      <c r="D98" s="291"/>
      <c r="E98" s="291"/>
      <c r="F98" s="291"/>
      <c r="G98" s="291"/>
      <c r="H98" s="291"/>
      <c r="I98" s="291"/>
      <c r="J98" s="291"/>
      <c r="K98" s="291"/>
      <c r="L98" s="291"/>
      <c r="M98" s="291"/>
      <c r="N98" s="291"/>
      <c r="O98" s="291"/>
      <c r="P98" s="291"/>
      <c r="Q98" s="291"/>
      <c r="R98" s="291"/>
      <c r="S98" s="291"/>
      <c r="T98" s="291"/>
      <c r="U98" s="291"/>
      <c r="V98" s="291"/>
      <c r="W98" s="291"/>
      <c r="X98" s="291"/>
      <c r="Y98" s="292"/>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c r="AV98" s="291"/>
      <c r="AW98" s="292"/>
    </row>
    <row r="99" spans="2:49" ht="15" customHeight="1">
      <c r="B99" s="160"/>
      <c r="C99" s="291" t="s">
        <v>446</v>
      </c>
      <c r="D99" s="291"/>
      <c r="E99" s="291"/>
      <c r="F99" s="291"/>
      <c r="G99" s="291"/>
      <c r="H99" s="291"/>
      <c r="I99" s="291"/>
      <c r="J99" s="291"/>
      <c r="K99" s="291"/>
      <c r="L99" s="291"/>
      <c r="M99" s="291"/>
      <c r="N99" s="291"/>
      <c r="O99" s="291"/>
      <c r="P99" s="291"/>
      <c r="Q99" s="291"/>
      <c r="R99" s="291"/>
      <c r="S99" s="291"/>
      <c r="T99" s="291"/>
      <c r="U99" s="291"/>
      <c r="V99" s="291"/>
      <c r="W99" s="291"/>
      <c r="X99" s="291"/>
      <c r="Y99" s="292"/>
      <c r="Z99" s="291"/>
      <c r="AA99" s="291"/>
      <c r="AB99" s="291"/>
      <c r="AC99" s="291"/>
      <c r="AD99" s="291"/>
      <c r="AE99" s="291"/>
      <c r="AF99" s="291"/>
      <c r="AG99" s="291"/>
      <c r="AH99" s="291"/>
      <c r="AI99" s="291"/>
      <c r="AJ99" s="291"/>
      <c r="AK99" s="291"/>
      <c r="AL99" s="291"/>
      <c r="AM99" s="291"/>
      <c r="AN99" s="291"/>
      <c r="AO99" s="291"/>
      <c r="AP99" s="291"/>
      <c r="AQ99" s="291"/>
      <c r="AR99" s="291"/>
      <c r="AS99" s="291"/>
      <c r="AT99" s="291"/>
      <c r="AU99" s="291"/>
      <c r="AV99" s="291"/>
      <c r="AW99" s="292"/>
    </row>
    <row r="100" spans="2:49" ht="15" customHeight="1">
      <c r="B100" s="160"/>
      <c r="C100" s="291" t="s">
        <v>447</v>
      </c>
      <c r="D100" s="291"/>
      <c r="E100" s="291"/>
      <c r="F100" s="291"/>
      <c r="G100" s="291"/>
      <c r="H100" s="291"/>
      <c r="I100" s="291"/>
      <c r="J100" s="291"/>
      <c r="K100" s="291"/>
      <c r="L100" s="291" t="s">
        <v>451</v>
      </c>
      <c r="M100" s="291"/>
      <c r="N100" s="291"/>
      <c r="O100" s="291"/>
      <c r="P100" s="291"/>
      <c r="Q100" s="291"/>
      <c r="R100" s="291"/>
      <c r="S100" s="291"/>
      <c r="T100" s="291"/>
      <c r="U100" s="291"/>
      <c r="V100" s="291"/>
      <c r="W100" s="291"/>
      <c r="X100" s="291"/>
      <c r="Y100" s="292"/>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2"/>
    </row>
    <row r="101" spans="2:49" ht="15" customHeight="1">
      <c r="B101" s="160"/>
      <c r="C101" s="291"/>
      <c r="D101" s="291"/>
      <c r="E101" s="291" t="s">
        <v>450</v>
      </c>
      <c r="F101" s="291"/>
      <c r="G101" s="291"/>
      <c r="H101" s="291"/>
      <c r="I101" s="291"/>
      <c r="J101" s="291"/>
      <c r="K101" s="291"/>
      <c r="L101" s="291"/>
      <c r="M101" s="291"/>
      <c r="N101" s="291"/>
      <c r="O101" s="291"/>
      <c r="P101" s="291"/>
      <c r="Q101" s="291"/>
      <c r="R101" s="291"/>
      <c r="S101" s="291"/>
      <c r="T101" s="291"/>
      <c r="U101" s="291"/>
      <c r="V101" s="291"/>
      <c r="W101" s="291"/>
      <c r="X101" s="291"/>
      <c r="Y101" s="292"/>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2"/>
    </row>
    <row r="102" spans="2:49" ht="15" customHeight="1">
      <c r="B102" s="160"/>
      <c r="C102" s="291"/>
      <c r="D102" s="291"/>
      <c r="E102" s="291" t="s">
        <v>459</v>
      </c>
      <c r="F102" s="291"/>
      <c r="G102" s="291"/>
      <c r="H102" s="291"/>
      <c r="I102" s="291"/>
      <c r="J102" s="291"/>
      <c r="K102" s="291"/>
      <c r="L102" s="291"/>
      <c r="M102" s="291"/>
      <c r="N102" s="291"/>
      <c r="O102" s="291"/>
      <c r="P102" s="291"/>
      <c r="Q102" s="291"/>
      <c r="R102" s="291"/>
      <c r="S102" s="291"/>
      <c r="T102" s="291"/>
      <c r="U102" s="291"/>
      <c r="V102" s="291"/>
      <c r="W102" s="291"/>
      <c r="X102" s="291"/>
      <c r="Y102" s="292"/>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c r="AV102" s="291"/>
      <c r="AW102" s="292"/>
    </row>
    <row r="103" spans="2:49" ht="15" customHeight="1">
      <c r="B103" s="160"/>
      <c r="C103" s="291" t="s">
        <v>448</v>
      </c>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2"/>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2"/>
    </row>
    <row r="104" spans="2:49" ht="15" customHeight="1">
      <c r="B104" s="160"/>
      <c r="C104" s="291"/>
      <c r="D104" s="291" t="s">
        <v>240</v>
      </c>
      <c r="E104" s="291"/>
      <c r="F104" s="291"/>
      <c r="G104" s="291"/>
      <c r="H104" s="291"/>
      <c r="I104" s="291"/>
      <c r="J104" s="291"/>
      <c r="K104" s="291"/>
      <c r="L104" s="291" t="s">
        <v>449</v>
      </c>
      <c r="M104" s="291"/>
      <c r="N104" s="291"/>
      <c r="O104" s="291"/>
      <c r="P104" s="291"/>
      <c r="Q104" s="291"/>
      <c r="R104" s="291"/>
      <c r="S104" s="291"/>
      <c r="T104" s="291"/>
      <c r="U104" s="291"/>
      <c r="V104" s="291"/>
      <c r="W104" s="291"/>
      <c r="X104" s="291"/>
      <c r="Y104" s="292"/>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2"/>
    </row>
    <row r="105" spans="2:49" ht="15" customHeight="1">
      <c r="B105" s="160"/>
      <c r="C105" s="291"/>
      <c r="D105" s="291"/>
      <c r="E105" s="291" t="s">
        <v>460</v>
      </c>
      <c r="F105" s="291"/>
      <c r="G105" s="291"/>
      <c r="H105" s="291"/>
      <c r="I105" s="291"/>
      <c r="J105" s="291"/>
      <c r="K105" s="291"/>
      <c r="L105" s="291"/>
      <c r="M105" s="291"/>
      <c r="N105" s="291"/>
      <c r="O105" s="291"/>
      <c r="P105" s="291"/>
      <c r="Q105" s="291"/>
      <c r="R105" s="291"/>
      <c r="S105" s="291"/>
      <c r="T105" s="291"/>
      <c r="U105" s="291"/>
      <c r="V105" s="291"/>
      <c r="W105" s="291"/>
      <c r="X105" s="291"/>
      <c r="Y105" s="292"/>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2"/>
    </row>
    <row r="106" spans="2:49" ht="15" customHeight="1">
      <c r="B106" s="160"/>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2"/>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2"/>
    </row>
    <row r="107" spans="2:49" ht="15" customHeight="1">
      <c r="B107" s="119"/>
      <c r="Y107" s="121"/>
      <c r="AW107" s="121"/>
    </row>
    <row r="108" spans="2:49" ht="15" customHeight="1">
      <c r="B108" s="119"/>
      <c r="Y108" s="121"/>
      <c r="AW108" s="121"/>
    </row>
    <row r="109" spans="2:49" ht="15" customHeight="1">
      <c r="B109" s="119"/>
      <c r="Y109" s="121"/>
      <c r="Z109" s="119"/>
      <c r="AW109" s="121"/>
    </row>
    <row r="110" spans="2:49" ht="15" customHeight="1">
      <c r="B110" s="119"/>
      <c r="Y110" s="121"/>
      <c r="Z110" s="119"/>
      <c r="AW110" s="121"/>
    </row>
    <row r="111" spans="2:49" ht="15" customHeight="1">
      <c r="B111" s="119"/>
      <c r="Y111" s="121"/>
      <c r="Z111" s="119"/>
      <c r="AW111" s="121"/>
    </row>
    <row r="112" spans="2:49" ht="15" customHeight="1">
      <c r="B112" s="119"/>
      <c r="Y112" s="121"/>
      <c r="Z112" s="119"/>
      <c r="AW112" s="121"/>
    </row>
    <row r="113" spans="2:49" ht="15" customHeight="1">
      <c r="B113" s="119"/>
      <c r="Y113" s="121"/>
      <c r="Z113" s="119"/>
      <c r="AW113" s="121"/>
    </row>
    <row r="114" spans="2:49" ht="15" customHeight="1">
      <c r="B114" s="119"/>
      <c r="Y114" s="121"/>
      <c r="Z114" s="119"/>
      <c r="AW114" s="121"/>
    </row>
    <row r="115" spans="2:49" ht="15" customHeight="1">
      <c r="B115" s="119"/>
      <c r="Y115" s="121"/>
      <c r="Z115" s="119"/>
      <c r="AW115" s="121"/>
    </row>
    <row r="116" spans="2:49" ht="15" customHeight="1">
      <c r="B116" s="119"/>
      <c r="Y116" s="121"/>
      <c r="Z116" s="119"/>
      <c r="AW116" s="121"/>
    </row>
    <row r="117" spans="2:49" ht="15" customHeight="1">
      <c r="B117" s="119"/>
      <c r="Y117" s="121"/>
      <c r="Z117" s="119"/>
      <c r="AW117" s="121"/>
    </row>
    <row r="118" spans="2:49" ht="15" customHeight="1">
      <c r="B118" s="119"/>
      <c r="Y118" s="121"/>
      <c r="Z118" s="119"/>
      <c r="AW118" s="121"/>
    </row>
    <row r="119" spans="2:49" ht="15" customHeight="1">
      <c r="B119" s="119"/>
      <c r="Y119" s="121"/>
      <c r="Z119" s="119"/>
      <c r="AW119" s="121"/>
    </row>
    <row r="120" spans="2:49" ht="15" customHeight="1">
      <c r="B120" s="119"/>
      <c r="Y120" s="121"/>
      <c r="Z120" s="119"/>
      <c r="AW120" s="121"/>
    </row>
    <row r="121" spans="2:49" ht="15" customHeight="1">
      <c r="B121" s="119"/>
      <c r="Y121" s="121"/>
      <c r="Z121" s="119"/>
      <c r="AW121" s="121"/>
    </row>
    <row r="122" spans="2:49" ht="15" customHeight="1">
      <c r="B122" s="119"/>
      <c r="Y122" s="121"/>
      <c r="Z122" s="119"/>
      <c r="AW122" s="121"/>
    </row>
    <row r="123" spans="2:49" ht="15" customHeight="1">
      <c r="B123" s="119"/>
      <c r="Y123" s="121"/>
      <c r="Z123" s="119"/>
      <c r="AW123" s="121"/>
    </row>
    <row r="124" spans="2:49" ht="15" customHeight="1">
      <c r="B124" s="119"/>
      <c r="Y124" s="121"/>
      <c r="Z124" s="119"/>
      <c r="AW124" s="121"/>
    </row>
    <row r="125" spans="2:49" ht="15" customHeight="1">
      <c r="B125" s="119"/>
      <c r="Y125" s="121"/>
      <c r="Z125" s="119"/>
      <c r="AW125" s="121"/>
    </row>
    <row r="126" spans="2:49" ht="15" customHeight="1">
      <c r="B126" s="119"/>
      <c r="Y126" s="121"/>
      <c r="Z126" s="119"/>
      <c r="AW126" s="121"/>
    </row>
    <row r="127" spans="2:49" ht="15" customHeight="1">
      <c r="B127" s="119"/>
      <c r="Y127" s="121"/>
      <c r="Z127" s="119"/>
      <c r="AW127" s="121"/>
    </row>
    <row r="128" spans="2:49" ht="15" customHeight="1">
      <c r="B128" s="119"/>
      <c r="Y128" s="121"/>
      <c r="Z128" s="119"/>
      <c r="AW128" s="121"/>
    </row>
    <row r="129" spans="2:49" ht="15" customHeight="1">
      <c r="B129" s="119"/>
      <c r="Y129" s="121"/>
      <c r="Z129" s="119"/>
      <c r="AW129" s="121"/>
    </row>
    <row r="130" spans="2:49" ht="15" customHeight="1">
      <c r="B130" s="119"/>
      <c r="Y130" s="121"/>
      <c r="Z130" s="119"/>
      <c r="AW130" s="121"/>
    </row>
    <row r="131" spans="2:49" ht="15" customHeight="1">
      <c r="B131" s="119"/>
      <c r="Y131" s="121"/>
      <c r="Z131" s="119"/>
      <c r="AW131" s="121"/>
    </row>
    <row r="132" spans="2:49" ht="15" customHeight="1">
      <c r="B132" s="119"/>
      <c r="Y132" s="121"/>
      <c r="Z132" s="119"/>
      <c r="AW132" s="121"/>
    </row>
    <row r="133" spans="2:49" ht="15" customHeight="1">
      <c r="B133" s="119"/>
      <c r="Y133" s="121"/>
      <c r="Z133" s="119"/>
      <c r="AW133" s="121"/>
    </row>
    <row r="134" spans="2:49" ht="15" customHeight="1">
      <c r="B134" s="119"/>
      <c r="Y134" s="121"/>
      <c r="Z134" s="119"/>
      <c r="AW134" s="121"/>
    </row>
    <row r="135" spans="2:49" ht="15" customHeight="1">
      <c r="B135" s="119"/>
      <c r="Y135" s="121"/>
      <c r="Z135" s="119"/>
      <c r="AW135" s="121"/>
    </row>
    <row r="136" spans="2:49" ht="15" customHeight="1">
      <c r="B136" s="119"/>
      <c r="Y136" s="121"/>
      <c r="Z136" s="119"/>
      <c r="AW136" s="121"/>
    </row>
    <row r="137" spans="2:49" ht="15" customHeight="1">
      <c r="B137" s="119"/>
      <c r="Y137" s="121"/>
      <c r="Z137" s="119"/>
      <c r="AW137" s="121"/>
    </row>
    <row r="138" spans="2:49" ht="15" customHeight="1">
      <c r="B138" s="119"/>
      <c r="Y138" s="121"/>
      <c r="Z138" s="119"/>
      <c r="AW138" s="121"/>
    </row>
    <row r="139" spans="2:49" ht="15" customHeight="1">
      <c r="B139" s="119"/>
      <c r="Y139" s="121"/>
      <c r="Z139" s="119"/>
      <c r="AW139" s="121"/>
    </row>
    <row r="140" spans="2:49" ht="15" customHeight="1">
      <c r="B140" s="119"/>
      <c r="Y140" s="121"/>
      <c r="Z140" s="119"/>
      <c r="AW140" s="121"/>
    </row>
    <row r="141" spans="2:49" ht="15" customHeight="1">
      <c r="B141" s="119"/>
      <c r="Y141" s="121"/>
      <c r="Z141" s="119"/>
      <c r="AW141" s="121"/>
    </row>
    <row r="142" spans="2:49">
      <c r="B142" s="119"/>
      <c r="Y142" s="121"/>
      <c r="Z142" s="119"/>
      <c r="AW142" s="121"/>
    </row>
    <row r="143" spans="2:49">
      <c r="B143" s="119"/>
      <c r="Y143" s="121"/>
      <c r="Z143" s="119"/>
      <c r="AW143" s="121"/>
    </row>
    <row r="144" spans="2:49">
      <c r="B144" s="119"/>
      <c r="Y144" s="121"/>
      <c r="Z144" s="119"/>
      <c r="AW144" s="121"/>
    </row>
    <row r="145" spans="2:49">
      <c r="B145" s="119"/>
      <c r="Y145" s="121"/>
      <c r="Z145" s="119"/>
      <c r="AW145" s="121"/>
    </row>
    <row r="146" spans="2:49">
      <c r="B146" s="119"/>
      <c r="Y146" s="121"/>
      <c r="Z146" s="119"/>
      <c r="AW146" s="121"/>
    </row>
    <row r="147" spans="2:49">
      <c r="B147" s="119"/>
      <c r="Y147" s="121"/>
      <c r="Z147" s="119"/>
      <c r="AW147" s="121"/>
    </row>
    <row r="148" spans="2:49">
      <c r="B148" s="119"/>
      <c r="Y148" s="121"/>
      <c r="Z148" s="119"/>
      <c r="AW148" s="121"/>
    </row>
    <row r="149" spans="2:49">
      <c r="B149" s="119"/>
      <c r="Y149" s="121"/>
      <c r="Z149" s="119"/>
      <c r="AW149" s="121"/>
    </row>
    <row r="150" spans="2:49">
      <c r="B150" s="119"/>
      <c r="Y150" s="121"/>
      <c r="Z150" s="119"/>
      <c r="AW150" s="121"/>
    </row>
    <row r="151" spans="2:49">
      <c r="B151" s="19"/>
      <c r="C151" s="20"/>
      <c r="D151" s="20"/>
      <c r="E151" s="20"/>
      <c r="F151" s="20"/>
      <c r="G151" s="20"/>
      <c r="H151" s="20"/>
      <c r="I151" s="20"/>
      <c r="J151" s="20"/>
      <c r="K151" s="20"/>
      <c r="L151" s="20"/>
      <c r="M151" s="20"/>
      <c r="N151" s="20"/>
      <c r="O151" s="20"/>
      <c r="P151" s="20"/>
      <c r="Q151" s="20"/>
      <c r="R151" s="20"/>
      <c r="S151" s="20"/>
      <c r="T151" s="20"/>
      <c r="U151" s="20"/>
      <c r="V151" s="20"/>
      <c r="W151" s="20"/>
      <c r="X151" s="20"/>
      <c r="Y151" s="21"/>
      <c r="Z151" s="19"/>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1"/>
    </row>
  </sheetData>
  <mergeCells count="2">
    <mergeCell ref="B2:Y3"/>
    <mergeCell ref="Z2:AW3"/>
  </mergeCells>
  <phoneticPr fontId="3"/>
  <hyperlinks>
    <hyperlink ref="A1" location="menu!A1" display="menu" xr:uid="{00000000-0004-0000-2600-000000000000}"/>
  </hyperlinks>
  <printOptions horizontalCentered="1"/>
  <pageMargins left="0.78740157480314965" right="0.39370078740157483" top="0.59055118110236227" bottom="0.59055118110236227" header="0.31496062992125984" footer="0.11811023622047245"/>
  <pageSetup paperSize="9" scale="65" orientation="portrait" r:id="rId1"/>
  <headerFooter>
    <oddFooter>&amp;C&amp;P</oddFooter>
  </headerFooter>
  <rowBreaks count="1" manualBreakCount="1">
    <brk id="78" min="1" max="4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W221"/>
  <sheetViews>
    <sheetView showGridLines="0" showZeros="0" view="pageBreakPreview" zoomScale="85" zoomScaleNormal="85" zoomScaleSheetLayoutView="85" workbookViewId="0">
      <selection activeCell="E184" sqref="E184"/>
    </sheetView>
  </sheetViews>
  <sheetFormatPr defaultRowHeight="18.75"/>
  <cols>
    <col min="2" max="4" width="12.625" customWidth="1"/>
    <col min="5" max="5" width="23.625" customWidth="1"/>
    <col min="7" max="7" width="5.625" customWidth="1"/>
    <col min="8" max="9" width="12.625" customWidth="1"/>
    <col min="10" max="10" width="20.625" customWidth="1"/>
    <col min="12" max="17" width="9" customWidth="1"/>
  </cols>
  <sheetData>
    <row r="1" spans="1:13">
      <c r="A1" s="298" t="s">
        <v>476</v>
      </c>
    </row>
    <row r="2" spans="1:13">
      <c r="B2" s="16"/>
      <c r="C2" s="17"/>
      <c r="D2" s="545" t="s">
        <v>111</v>
      </c>
      <c r="E2" s="546"/>
      <c r="F2" s="546"/>
      <c r="G2" s="546"/>
      <c r="H2" s="546"/>
      <c r="I2" s="546"/>
      <c r="J2" s="18"/>
    </row>
    <row r="3" spans="1:13">
      <c r="B3" s="19"/>
      <c r="C3" s="20"/>
      <c r="D3" s="547"/>
      <c r="E3" s="547"/>
      <c r="F3" s="547"/>
      <c r="G3" s="547"/>
      <c r="H3" s="547"/>
      <c r="I3" s="547"/>
      <c r="J3" s="103" t="s">
        <v>112</v>
      </c>
    </row>
    <row r="4" spans="1:13">
      <c r="B4" s="552" t="s">
        <v>113</v>
      </c>
      <c r="C4" s="552" t="s">
        <v>114</v>
      </c>
      <c r="D4" s="552" t="s">
        <v>115</v>
      </c>
      <c r="E4" s="552"/>
      <c r="F4" s="552" t="s">
        <v>2</v>
      </c>
      <c r="G4" s="552" t="s">
        <v>3</v>
      </c>
      <c r="H4" s="552" t="s">
        <v>6</v>
      </c>
      <c r="I4" s="552" t="s">
        <v>7</v>
      </c>
      <c r="J4" s="552" t="s">
        <v>8</v>
      </c>
    </row>
    <row r="5" spans="1:13">
      <c r="B5" s="552"/>
      <c r="C5" s="552"/>
      <c r="D5" s="552"/>
      <c r="E5" s="552"/>
      <c r="F5" s="552"/>
      <c r="G5" s="552"/>
      <c r="H5" s="552"/>
      <c r="I5" s="552"/>
      <c r="J5" s="552"/>
    </row>
    <row r="6" spans="1:13">
      <c r="B6" s="2" t="s">
        <v>297</v>
      </c>
      <c r="C6" s="2"/>
      <c r="D6" s="2"/>
      <c r="E6" s="2"/>
      <c r="F6" s="3"/>
      <c r="G6" s="3"/>
      <c r="H6" s="3"/>
      <c r="I6" s="3"/>
      <c r="J6" s="8"/>
    </row>
    <row r="7" spans="1:13">
      <c r="B7" s="1"/>
      <c r="C7" s="1"/>
      <c r="D7" s="1"/>
      <c r="E7" s="1"/>
      <c r="F7" s="1"/>
      <c r="G7" s="1"/>
      <c r="H7" s="1"/>
      <c r="I7" s="1"/>
      <c r="J7" s="9"/>
    </row>
    <row r="8" spans="1:13">
      <c r="B8" s="2"/>
      <c r="C8" s="2" t="s">
        <v>216</v>
      </c>
      <c r="D8" s="2"/>
      <c r="E8" s="2"/>
      <c r="F8" s="3"/>
      <c r="G8" s="3"/>
      <c r="H8" s="3"/>
      <c r="I8" s="3"/>
      <c r="J8" s="8"/>
    </row>
    <row r="9" spans="1:13">
      <c r="B9" s="1"/>
      <c r="C9" s="1"/>
      <c r="D9" s="1"/>
      <c r="E9" s="1"/>
      <c r="F9" s="1"/>
      <c r="G9" s="1"/>
      <c r="H9" s="1"/>
      <c r="I9" s="1"/>
      <c r="J9" s="9"/>
    </row>
    <row r="10" spans="1:13">
      <c r="B10" s="2"/>
      <c r="C10" s="2"/>
      <c r="D10" s="2" t="s">
        <v>10</v>
      </c>
      <c r="E10" s="2"/>
      <c r="F10" s="3"/>
      <c r="G10" s="3"/>
      <c r="H10" s="3"/>
      <c r="I10" s="3"/>
      <c r="J10" s="8"/>
    </row>
    <row r="11" spans="1:13">
      <c r="B11" s="1"/>
      <c r="C11" s="1"/>
      <c r="D11" s="1"/>
      <c r="E11" s="1"/>
      <c r="F11" s="1"/>
      <c r="G11" s="1"/>
      <c r="H11" s="1"/>
      <c r="I11" s="1"/>
      <c r="J11" s="9"/>
    </row>
    <row r="12" spans="1:13">
      <c r="B12" s="2"/>
      <c r="C12" s="2"/>
      <c r="D12" s="2"/>
      <c r="E12" s="2" t="s">
        <v>10</v>
      </c>
      <c r="F12" s="4">
        <f>+IF(H12&gt;0,1,0)</f>
        <v>0</v>
      </c>
      <c r="G12" s="105" t="s">
        <v>117</v>
      </c>
      <c r="H12" s="127">
        <f>+'明細(電気) 単独'!G47</f>
        <v>0</v>
      </c>
      <c r="I12" s="106">
        <f>+IF(F12&gt;0,F12*H12,0)</f>
        <v>0</v>
      </c>
      <c r="J12" s="8"/>
      <c r="L12" s="107"/>
      <c r="M12" s="107"/>
    </row>
    <row r="13" spans="1:13">
      <c r="B13" s="1"/>
      <c r="C13" s="1"/>
      <c r="D13" s="1"/>
      <c r="E13" s="6"/>
      <c r="F13" s="129">
        <f>+IF(H13&gt;0,1,0)</f>
        <v>0</v>
      </c>
      <c r="G13" s="109"/>
      <c r="H13" s="128">
        <f>+'明細(電気) 単独'!G48</f>
        <v>0</v>
      </c>
      <c r="I13" s="110">
        <f>+IF(F13&gt;0,F13*H13,0)</f>
        <v>0</v>
      </c>
      <c r="J13" s="9"/>
      <c r="L13" s="111"/>
      <c r="M13" s="111"/>
    </row>
    <row r="14" spans="1:13">
      <c r="B14" s="2"/>
      <c r="C14" s="2"/>
      <c r="D14" s="2"/>
      <c r="E14" s="2" t="s">
        <v>118</v>
      </c>
      <c r="F14" s="4">
        <f>+IF(I14&gt;0,1,0)</f>
        <v>0</v>
      </c>
      <c r="G14" s="105" t="s">
        <v>117</v>
      </c>
      <c r="H14" s="4"/>
      <c r="I14" s="106">
        <f>+I12</f>
        <v>0</v>
      </c>
      <c r="J14" s="8" t="s">
        <v>119</v>
      </c>
      <c r="L14" s="112"/>
      <c r="M14" s="112"/>
    </row>
    <row r="15" spans="1:13">
      <c r="B15" s="1"/>
      <c r="C15" s="1"/>
      <c r="D15" s="1"/>
      <c r="E15" s="6"/>
      <c r="F15" s="129">
        <f>+IF(I15&gt;0,1,0)</f>
        <v>0</v>
      </c>
      <c r="G15" s="109"/>
      <c r="H15" s="5"/>
      <c r="I15" s="110">
        <f>+I13</f>
        <v>0</v>
      </c>
      <c r="J15" s="9"/>
      <c r="L15" s="36"/>
    </row>
    <row r="16" spans="1:13">
      <c r="B16" s="2"/>
      <c r="C16" s="2"/>
      <c r="D16" s="2" t="s">
        <v>120</v>
      </c>
      <c r="E16" s="2"/>
      <c r="F16" s="3"/>
      <c r="G16" s="3"/>
      <c r="H16" s="3"/>
      <c r="I16" s="3"/>
      <c r="J16" s="8"/>
    </row>
    <row r="17" spans="2:23">
      <c r="B17" s="1"/>
      <c r="C17" s="1"/>
      <c r="D17" s="1"/>
      <c r="E17" s="1"/>
      <c r="F17" s="1"/>
      <c r="G17" s="1"/>
      <c r="H17" s="1"/>
      <c r="I17" s="1"/>
      <c r="J17" s="9"/>
    </row>
    <row r="18" spans="2:23">
      <c r="B18" s="2"/>
      <c r="C18" s="2"/>
      <c r="D18" s="2"/>
      <c r="E18" s="2" t="s">
        <v>194</v>
      </c>
      <c r="F18" s="4">
        <f t="shared" ref="F18:F25" si="0">+IF(H18&gt;0,1,0)</f>
        <v>0</v>
      </c>
      <c r="G18" s="105" t="s">
        <v>117</v>
      </c>
      <c r="H18" s="127">
        <f>+'明細(電気) 単独'!O47</f>
        <v>0</v>
      </c>
      <c r="I18" s="106">
        <f>+IF(F18&gt;0,F18*H18,0)</f>
        <v>0</v>
      </c>
      <c r="J18" s="8"/>
      <c r="L18" s="107"/>
      <c r="M18" s="107"/>
      <c r="N18" s="113"/>
      <c r="O18" s="113"/>
    </row>
    <row r="19" spans="2:23">
      <c r="B19" s="1"/>
      <c r="C19" s="1"/>
      <c r="D19" s="1"/>
      <c r="E19" s="6" t="s">
        <v>243</v>
      </c>
      <c r="F19" s="129">
        <f t="shared" si="0"/>
        <v>0</v>
      </c>
      <c r="G19" s="109"/>
      <c r="H19" s="128">
        <f>+'明細(電気) 単独'!O48</f>
        <v>0</v>
      </c>
      <c r="I19" s="110">
        <f>+IF(F19&gt;0,F19*H19,0)</f>
        <v>0</v>
      </c>
      <c r="J19" s="9"/>
      <c r="L19" s="111"/>
      <c r="M19" s="111"/>
    </row>
    <row r="20" spans="2:23">
      <c r="B20" s="2"/>
      <c r="C20" s="2"/>
      <c r="D20" s="2"/>
      <c r="E20" s="2" t="s">
        <v>194</v>
      </c>
      <c r="F20" s="4">
        <f t="shared" si="0"/>
        <v>0</v>
      </c>
      <c r="G20" s="105" t="s">
        <v>117</v>
      </c>
      <c r="H20" s="127">
        <f>+'明細(電気) 単独'!W47</f>
        <v>0</v>
      </c>
      <c r="I20" s="106">
        <f t="shared" ref="I20:I25" si="1">+IF(F20&gt;0,F20*H20,0)</f>
        <v>0</v>
      </c>
      <c r="J20" s="8"/>
      <c r="L20" s="107"/>
      <c r="M20" s="107"/>
      <c r="N20" s="36"/>
      <c r="P20" s="113"/>
      <c r="Q20" s="113"/>
    </row>
    <row r="21" spans="2:23">
      <c r="B21" s="1"/>
      <c r="C21" s="1"/>
      <c r="D21" s="1"/>
      <c r="E21" s="6" t="s">
        <v>289</v>
      </c>
      <c r="F21" s="129">
        <f t="shared" si="0"/>
        <v>0</v>
      </c>
      <c r="G21" s="109"/>
      <c r="H21" s="128">
        <f>+'明細(電気) 単独'!W48</f>
        <v>0</v>
      </c>
      <c r="I21" s="110">
        <f t="shared" si="1"/>
        <v>0</v>
      </c>
      <c r="J21" s="9"/>
      <c r="L21" s="111"/>
      <c r="M21" s="111"/>
      <c r="N21" s="36"/>
    </row>
    <row r="22" spans="2:23">
      <c r="B22" s="2"/>
      <c r="C22" s="2"/>
      <c r="D22" s="2"/>
      <c r="E22" s="2" t="s">
        <v>194</v>
      </c>
      <c r="F22" s="4">
        <f t="shared" si="0"/>
        <v>0</v>
      </c>
      <c r="G22" s="105" t="s">
        <v>117</v>
      </c>
      <c r="H22" s="127">
        <f>+'明細(電気) 単独'!AE47</f>
        <v>0</v>
      </c>
      <c r="I22" s="106">
        <f t="shared" si="1"/>
        <v>0</v>
      </c>
      <c r="J22" s="8" t="s">
        <v>290</v>
      </c>
      <c r="L22" s="107"/>
      <c r="M22" s="107"/>
      <c r="O22" s="36"/>
      <c r="R22" s="113"/>
      <c r="S22" s="113"/>
    </row>
    <row r="23" spans="2:23">
      <c r="B23" s="1"/>
      <c r="C23" s="1"/>
      <c r="D23" s="1"/>
      <c r="E23" s="6" t="s">
        <v>258</v>
      </c>
      <c r="F23" s="129">
        <f t="shared" si="0"/>
        <v>0</v>
      </c>
      <c r="G23" s="109"/>
      <c r="H23" s="128">
        <f>+'明細(電気) 単独'!AE48</f>
        <v>0</v>
      </c>
      <c r="I23" s="110">
        <f t="shared" si="1"/>
        <v>0</v>
      </c>
      <c r="J23" s="9"/>
      <c r="L23" s="111"/>
      <c r="M23" s="111"/>
      <c r="O23" s="36"/>
    </row>
    <row r="24" spans="2:23">
      <c r="B24" s="2"/>
      <c r="C24" s="2"/>
      <c r="D24" s="2"/>
      <c r="E24" s="2" t="s">
        <v>194</v>
      </c>
      <c r="F24" s="4">
        <f t="shared" si="0"/>
        <v>0</v>
      </c>
      <c r="G24" s="105" t="s">
        <v>117</v>
      </c>
      <c r="H24" s="127">
        <f>+'明細(電気) 単独'!AM47</f>
        <v>0</v>
      </c>
      <c r="I24" s="106">
        <f t="shared" si="1"/>
        <v>0</v>
      </c>
      <c r="J24" s="8" t="s">
        <v>920</v>
      </c>
      <c r="L24" s="107"/>
      <c r="M24" s="107"/>
      <c r="P24" s="36"/>
      <c r="T24" s="113"/>
      <c r="U24" s="113"/>
    </row>
    <row r="25" spans="2:23">
      <c r="B25" s="1"/>
      <c r="C25" s="1"/>
      <c r="D25" s="1"/>
      <c r="E25" s="6" t="s">
        <v>263</v>
      </c>
      <c r="F25" s="129">
        <f t="shared" si="0"/>
        <v>0</v>
      </c>
      <c r="G25" s="109"/>
      <c r="H25" s="128">
        <f>+'明細(電気) 単独'!AM48</f>
        <v>0</v>
      </c>
      <c r="I25" s="110">
        <f t="shared" si="1"/>
        <v>0</v>
      </c>
      <c r="J25" s="9"/>
      <c r="L25" s="111"/>
      <c r="M25" s="111"/>
      <c r="P25" s="36"/>
    </row>
    <row r="26" spans="2:23">
      <c r="B26" s="2"/>
      <c r="C26" s="2"/>
      <c r="D26" s="2"/>
      <c r="E26" s="2" t="s">
        <v>199</v>
      </c>
      <c r="F26" s="114">
        <v>4</v>
      </c>
      <c r="G26" s="105" t="s">
        <v>123</v>
      </c>
      <c r="H26" s="127">
        <f>+SUM(I18,I20,I22,I24)</f>
        <v>0</v>
      </c>
      <c r="I26" s="106">
        <f>+IF(F26&gt;0,H26*F26%,0)</f>
        <v>0</v>
      </c>
      <c r="J26" s="8" t="s">
        <v>201</v>
      </c>
      <c r="L26" s="107"/>
      <c r="M26" s="107"/>
      <c r="Q26" s="36"/>
      <c r="V26" s="113"/>
      <c r="W26" s="113"/>
    </row>
    <row r="27" spans="2:23">
      <c r="B27" s="1"/>
      <c r="C27" s="1"/>
      <c r="D27" s="1"/>
      <c r="E27" s="6"/>
      <c r="F27" s="115">
        <f>+IF(H27&gt;0,2,0)</f>
        <v>0</v>
      </c>
      <c r="G27" s="109"/>
      <c r="H27" s="128">
        <f>+SUM(I19,I21,I23,I25)</f>
        <v>0</v>
      </c>
      <c r="I27" s="110">
        <f>+IF(F27&gt;0,H27*F27%,0)</f>
        <v>0</v>
      </c>
      <c r="J27" s="116" t="s">
        <v>925</v>
      </c>
      <c r="L27" s="111"/>
      <c r="M27" s="111"/>
      <c r="Q27" s="36"/>
    </row>
    <row r="28" spans="2:23">
      <c r="B28" s="2"/>
      <c r="C28" s="2"/>
      <c r="D28" s="2"/>
      <c r="E28" s="131" t="s">
        <v>206</v>
      </c>
      <c r="F28" s="4">
        <f>+IF(I28&gt;0,1,0)</f>
        <v>0</v>
      </c>
      <c r="G28" s="105" t="s">
        <v>117</v>
      </c>
      <c r="H28" s="4"/>
      <c r="I28" s="106">
        <f>+SUM(H26,I26)</f>
        <v>0</v>
      </c>
      <c r="J28" s="8"/>
      <c r="L28" s="112"/>
      <c r="M28" s="112"/>
      <c r="N28" s="113"/>
      <c r="O28" s="113"/>
    </row>
    <row r="29" spans="2:23">
      <c r="B29" s="1"/>
      <c r="C29" s="1"/>
      <c r="D29" s="1"/>
      <c r="E29" s="6"/>
      <c r="F29" s="5">
        <f>+IF(I29&gt;0,1,0)</f>
        <v>0</v>
      </c>
      <c r="G29" s="109"/>
      <c r="H29" s="5"/>
      <c r="I29" s="110">
        <f>+SUM(H27,I27)</f>
        <v>0</v>
      </c>
      <c r="J29" s="9"/>
      <c r="L29" s="36"/>
    </row>
    <row r="30" spans="2:23">
      <c r="B30" s="2"/>
      <c r="C30" s="2"/>
      <c r="D30" s="2"/>
      <c r="E30" s="2" t="s">
        <v>202</v>
      </c>
      <c r="F30" s="4">
        <f t="shared" ref="F30:F35" si="2">+IF(H30&gt;0,1,0)</f>
        <v>0</v>
      </c>
      <c r="G30" s="105" t="s">
        <v>117</v>
      </c>
      <c r="H30" s="4">
        <f>+'明細(電気) 単独'!AU47</f>
        <v>0</v>
      </c>
      <c r="I30" s="106">
        <f t="shared" ref="I30:I35" si="3">+IF(F30&gt;0,F30*H30,0)</f>
        <v>0</v>
      </c>
      <c r="J30" s="45" t="s">
        <v>921</v>
      </c>
      <c r="L30" s="36"/>
    </row>
    <row r="31" spans="2:23">
      <c r="B31" s="1"/>
      <c r="C31" s="1"/>
      <c r="D31" s="1"/>
      <c r="E31" s="6" t="s">
        <v>23</v>
      </c>
      <c r="F31" s="129">
        <f t="shared" si="2"/>
        <v>0</v>
      </c>
      <c r="G31" s="109"/>
      <c r="H31" s="5">
        <f>+'明細(電気) 単独'!AU48</f>
        <v>0</v>
      </c>
      <c r="I31" s="110">
        <f t="shared" si="3"/>
        <v>0</v>
      </c>
      <c r="J31" s="9"/>
      <c r="L31" s="36"/>
    </row>
    <row r="32" spans="2:23">
      <c r="B32" s="2"/>
      <c r="C32" s="2"/>
      <c r="D32" s="2"/>
      <c r="E32" s="2" t="s">
        <v>202</v>
      </c>
      <c r="F32" s="4">
        <f t="shared" si="2"/>
        <v>0</v>
      </c>
      <c r="G32" s="105" t="s">
        <v>117</v>
      </c>
      <c r="H32" s="4">
        <f>+'明細(電気) 単独'!BC47</f>
        <v>0</v>
      </c>
      <c r="I32" s="106">
        <f t="shared" si="3"/>
        <v>0</v>
      </c>
      <c r="J32" s="45"/>
      <c r="L32" s="36"/>
    </row>
    <row r="33" spans="2:12">
      <c r="B33" s="1"/>
      <c r="C33" s="1"/>
      <c r="D33" s="1"/>
      <c r="E33" s="6" t="s">
        <v>269</v>
      </c>
      <c r="F33" s="129">
        <f t="shared" si="2"/>
        <v>0</v>
      </c>
      <c r="G33" s="109"/>
      <c r="H33" s="5">
        <f>+'明細(電気) 単独'!BC48</f>
        <v>0</v>
      </c>
      <c r="I33" s="110">
        <f t="shared" si="3"/>
        <v>0</v>
      </c>
      <c r="J33" s="9"/>
      <c r="L33" s="36"/>
    </row>
    <row r="34" spans="2:12">
      <c r="B34" s="2"/>
      <c r="C34" s="2"/>
      <c r="D34" s="2"/>
      <c r="E34" s="2" t="s">
        <v>202</v>
      </c>
      <c r="F34" s="4">
        <f t="shared" si="2"/>
        <v>0</v>
      </c>
      <c r="G34" s="105" t="s">
        <v>117</v>
      </c>
      <c r="H34" s="4">
        <f>+'明細(電気) 単独'!BK47</f>
        <v>0</v>
      </c>
      <c r="I34" s="106">
        <f t="shared" si="3"/>
        <v>0</v>
      </c>
      <c r="J34" s="45"/>
      <c r="L34" s="36"/>
    </row>
    <row r="35" spans="2:12">
      <c r="B35" s="1"/>
      <c r="C35" s="1"/>
      <c r="D35" s="1"/>
      <c r="E35" s="6" t="s">
        <v>273</v>
      </c>
      <c r="F35" s="129">
        <f t="shared" si="2"/>
        <v>0</v>
      </c>
      <c r="G35" s="109"/>
      <c r="H35" s="5">
        <f>+'明細(電気) 単独'!BK48</f>
        <v>0</v>
      </c>
      <c r="I35" s="110">
        <f t="shared" si="3"/>
        <v>0</v>
      </c>
      <c r="J35" s="9"/>
      <c r="L35" s="36"/>
    </row>
    <row r="36" spans="2:12">
      <c r="B36" s="2"/>
      <c r="C36" s="2"/>
      <c r="D36" s="2"/>
      <c r="E36" s="131" t="s">
        <v>294</v>
      </c>
      <c r="F36" s="4"/>
      <c r="G36" s="105"/>
      <c r="H36" s="4"/>
      <c r="I36" s="4">
        <f>+SUM(I30,I32,I34)</f>
        <v>0</v>
      </c>
      <c r="J36" s="45"/>
      <c r="L36" s="36"/>
    </row>
    <row r="37" spans="2:12">
      <c r="B37" s="1"/>
      <c r="C37" s="1"/>
      <c r="D37" s="1"/>
      <c r="E37" s="6"/>
      <c r="F37" s="5"/>
      <c r="G37" s="109"/>
      <c r="H37" s="5"/>
      <c r="I37" s="5">
        <f>+SUM(I31,I33,I35)</f>
        <v>0</v>
      </c>
      <c r="J37" s="9"/>
      <c r="L37" s="36"/>
    </row>
    <row r="38" spans="2:12">
      <c r="B38" s="2"/>
      <c r="C38" s="2"/>
      <c r="D38" s="2"/>
      <c r="E38" s="2" t="s">
        <v>31</v>
      </c>
      <c r="F38" s="4">
        <f>+IF(H38&gt;0,1,0)</f>
        <v>0</v>
      </c>
      <c r="G38" s="105" t="s">
        <v>117</v>
      </c>
      <c r="H38" s="4">
        <f>+'明細(電気) 単独'!BS47</f>
        <v>0</v>
      </c>
      <c r="I38" s="106">
        <f>+IF(F38&gt;0,F38*H38,0)</f>
        <v>0</v>
      </c>
      <c r="J38" s="45" t="s">
        <v>922</v>
      </c>
      <c r="L38" s="36"/>
    </row>
    <row r="39" spans="2:12">
      <c r="B39" s="1"/>
      <c r="C39" s="1"/>
      <c r="D39" s="1"/>
      <c r="E39" s="6"/>
      <c r="F39" s="129">
        <f>+IF(H39&gt;0,1,0)</f>
        <v>0</v>
      </c>
      <c r="G39" s="109"/>
      <c r="H39" s="5">
        <f>+'明細(電気) 単独'!BS48</f>
        <v>0</v>
      </c>
      <c r="I39" s="110">
        <f>+IF(F39&gt;0,F39*H39,0)</f>
        <v>0</v>
      </c>
      <c r="J39" s="9"/>
      <c r="L39" s="36"/>
    </row>
    <row r="40" spans="2:12">
      <c r="B40" s="2"/>
      <c r="C40" s="2"/>
      <c r="D40" s="2"/>
      <c r="E40" s="2" t="s">
        <v>42</v>
      </c>
      <c r="F40" s="4">
        <f>+IF(H40&gt;0,1,0)</f>
        <v>0</v>
      </c>
      <c r="G40" s="105" t="s">
        <v>117</v>
      </c>
      <c r="H40" s="4">
        <f>+'明細(電気) 単独'!CA47</f>
        <v>0</v>
      </c>
      <c r="I40" s="106">
        <f>+IF(F40&gt;0,F40*H40,0)</f>
        <v>0</v>
      </c>
      <c r="J40" s="45" t="s">
        <v>293</v>
      </c>
      <c r="L40" s="36"/>
    </row>
    <row r="41" spans="2:12">
      <c r="B41" s="1"/>
      <c r="C41" s="1"/>
      <c r="D41" s="1"/>
      <c r="E41" s="6"/>
      <c r="F41" s="129">
        <f>+IF(H41&gt;0,1,0)</f>
        <v>0</v>
      </c>
      <c r="G41" s="109"/>
      <c r="H41" s="5">
        <f>+'明細(電気) 単独'!CA48</f>
        <v>0</v>
      </c>
      <c r="I41" s="110">
        <f>+IF(F41&gt;0,F41*H41,0)</f>
        <v>0</v>
      </c>
      <c r="J41" s="9"/>
      <c r="L41" s="36"/>
    </row>
    <row r="42" spans="2:12">
      <c r="B42" s="2"/>
      <c r="C42" s="2"/>
      <c r="D42" s="2"/>
      <c r="E42" s="131" t="s">
        <v>209</v>
      </c>
      <c r="F42" s="4"/>
      <c r="G42" s="105"/>
      <c r="H42" s="4"/>
      <c r="I42" s="4">
        <f>+SUM(I38,I40)</f>
        <v>0</v>
      </c>
      <c r="J42" s="45"/>
      <c r="L42" s="36"/>
    </row>
    <row r="43" spans="2:12">
      <c r="B43" s="1"/>
      <c r="C43" s="1"/>
      <c r="D43" s="1"/>
      <c r="E43" s="6"/>
      <c r="F43" s="5"/>
      <c r="G43" s="109"/>
      <c r="H43" s="5"/>
      <c r="I43" s="5">
        <f>+SUM(I39,I41)</f>
        <v>0</v>
      </c>
      <c r="J43" s="9"/>
      <c r="L43" s="36"/>
    </row>
    <row r="44" spans="2:12">
      <c r="B44" s="2"/>
      <c r="C44" s="2"/>
      <c r="D44" s="2"/>
      <c r="E44" s="2" t="s">
        <v>118</v>
      </c>
      <c r="F44" s="4">
        <f>+IF(I44&gt;0,1,0)</f>
        <v>0</v>
      </c>
      <c r="G44" s="105" t="s">
        <v>117</v>
      </c>
      <c r="H44" s="4"/>
      <c r="I44" s="106">
        <f>+SUM(I28,I36,I42)</f>
        <v>0</v>
      </c>
      <c r="J44" s="45" t="s">
        <v>296</v>
      </c>
      <c r="L44" s="36"/>
    </row>
    <row r="45" spans="2:12">
      <c r="B45" s="1"/>
      <c r="C45" s="1"/>
      <c r="D45" s="1"/>
      <c r="E45" s="6"/>
      <c r="F45" s="5">
        <f>+IF(I45&gt;0,1,0)</f>
        <v>0</v>
      </c>
      <c r="G45" s="109"/>
      <c r="H45" s="5"/>
      <c r="I45" s="110">
        <f>+SUM(I29,I37,I43)</f>
        <v>0</v>
      </c>
      <c r="J45" s="9"/>
      <c r="L45" s="36"/>
    </row>
    <row r="46" spans="2:12">
      <c r="B46" s="2"/>
      <c r="C46" s="2"/>
      <c r="D46" s="2" t="s">
        <v>121</v>
      </c>
      <c r="E46" s="2"/>
      <c r="F46" s="4"/>
      <c r="G46" s="105"/>
      <c r="H46" s="4"/>
      <c r="I46" s="4"/>
      <c r="J46" s="45"/>
    </row>
    <row r="47" spans="2:12">
      <c r="B47" s="1"/>
      <c r="C47" s="1"/>
      <c r="D47" s="1"/>
      <c r="E47" s="6"/>
      <c r="F47" s="5"/>
      <c r="G47" s="109"/>
      <c r="H47" s="5"/>
      <c r="I47" s="5"/>
      <c r="J47" s="9"/>
    </row>
    <row r="48" spans="2:12">
      <c r="B48" s="2"/>
      <c r="C48" s="2"/>
      <c r="D48" s="2"/>
      <c r="E48" s="2" t="s">
        <v>122</v>
      </c>
      <c r="F48" s="114">
        <f>+K120</f>
        <v>18.7</v>
      </c>
      <c r="G48" s="105" t="s">
        <v>123</v>
      </c>
      <c r="H48" s="4">
        <f>+D117</f>
        <v>0</v>
      </c>
      <c r="I48" s="106">
        <f>+IF(H48&gt;0,INT(H48*F48%/1000)*1000,0)</f>
        <v>0</v>
      </c>
      <c r="J48" s="45" t="s">
        <v>124</v>
      </c>
    </row>
    <row r="49" spans="2:10">
      <c r="B49" s="1"/>
      <c r="C49" s="1"/>
      <c r="D49" s="1"/>
      <c r="E49" s="6"/>
      <c r="F49" s="115">
        <f>+K121</f>
        <v>0</v>
      </c>
      <c r="G49" s="109"/>
      <c r="H49" s="5">
        <f>+D118</f>
        <v>0</v>
      </c>
      <c r="I49" s="110">
        <f>+IF(H49&gt;0,INT(H49*F49%/1000)*1000,0)</f>
        <v>0</v>
      </c>
      <c r="J49" s="9"/>
    </row>
    <row r="50" spans="2:10">
      <c r="B50" s="2"/>
      <c r="C50" s="2"/>
      <c r="D50" s="2"/>
      <c r="E50" s="2" t="s">
        <v>44</v>
      </c>
      <c r="F50" s="104"/>
      <c r="G50" s="105"/>
      <c r="H50" s="104"/>
      <c r="I50" s="106">
        <f t="shared" ref="I50:I53" si="4">+IF(F50&gt;0,F50*H50,0)</f>
        <v>0</v>
      </c>
      <c r="J50" s="45"/>
    </row>
    <row r="51" spans="2:10">
      <c r="B51" s="1"/>
      <c r="C51" s="1"/>
      <c r="D51" s="1"/>
      <c r="E51" s="6"/>
      <c r="F51" s="108"/>
      <c r="G51" s="109"/>
      <c r="H51" s="108"/>
      <c r="I51" s="110">
        <f t="shared" si="4"/>
        <v>0</v>
      </c>
      <c r="J51" s="9"/>
    </row>
    <row r="52" spans="2:10">
      <c r="B52" s="2"/>
      <c r="C52" s="2"/>
      <c r="D52" s="2"/>
      <c r="E52" s="2" t="s">
        <v>125</v>
      </c>
      <c r="F52" s="104"/>
      <c r="G52" s="105"/>
      <c r="H52" s="104"/>
      <c r="I52" s="106">
        <f t="shared" si="4"/>
        <v>0</v>
      </c>
      <c r="J52" s="45"/>
    </row>
    <row r="53" spans="2:10">
      <c r="B53" s="1"/>
      <c r="C53" s="1"/>
      <c r="D53" s="1"/>
      <c r="E53" s="6"/>
      <c r="F53" s="108"/>
      <c r="G53" s="109"/>
      <c r="H53" s="108"/>
      <c r="I53" s="110">
        <f t="shared" si="4"/>
        <v>0</v>
      </c>
      <c r="J53" s="9"/>
    </row>
    <row r="54" spans="2:10">
      <c r="B54" s="2"/>
      <c r="C54" s="2"/>
      <c r="D54" s="2"/>
      <c r="E54" s="2" t="s">
        <v>126</v>
      </c>
      <c r="F54" s="4"/>
      <c r="G54" s="105"/>
      <c r="H54" s="4"/>
      <c r="I54" s="4">
        <f>+SUM(I48,I50,I52)</f>
        <v>0</v>
      </c>
      <c r="J54" s="45"/>
    </row>
    <row r="55" spans="2:10">
      <c r="B55" s="1"/>
      <c r="C55" s="1"/>
      <c r="D55" s="1"/>
      <c r="E55" s="6"/>
      <c r="F55" s="5"/>
      <c r="G55" s="109"/>
      <c r="H55" s="5"/>
      <c r="I55" s="5">
        <f>+SUM(I49,I51,I53)</f>
        <v>0</v>
      </c>
      <c r="J55" s="9"/>
    </row>
    <row r="56" spans="2:10">
      <c r="B56" s="2"/>
      <c r="C56" s="2"/>
      <c r="D56" s="2"/>
      <c r="E56" s="2" t="s">
        <v>127</v>
      </c>
      <c r="F56" s="114">
        <f>+K137</f>
        <v>39.81</v>
      </c>
      <c r="G56" s="105" t="s">
        <v>123</v>
      </c>
      <c r="H56" s="4">
        <f>+D134</f>
        <v>0</v>
      </c>
      <c r="I56" s="106">
        <f>+IF(H56&gt;0,INT(H56*F56%/1000)*1000,0)</f>
        <v>0</v>
      </c>
      <c r="J56" s="45" t="s">
        <v>124</v>
      </c>
    </row>
    <row r="57" spans="2:10">
      <c r="B57" s="1"/>
      <c r="C57" s="1"/>
      <c r="D57" s="1"/>
      <c r="E57" s="6"/>
      <c r="F57" s="115">
        <f>+K138</f>
        <v>0</v>
      </c>
      <c r="G57" s="109"/>
      <c r="H57" s="5">
        <f>+D135</f>
        <v>0</v>
      </c>
      <c r="I57" s="110">
        <f>+IF(H57&gt;0,INT(H57*F57%/1000)*1000,0)</f>
        <v>0</v>
      </c>
      <c r="J57" s="9"/>
    </row>
    <row r="58" spans="2:10">
      <c r="B58" s="2"/>
      <c r="C58" s="2"/>
      <c r="D58" s="2"/>
      <c r="E58" s="2" t="s">
        <v>129</v>
      </c>
      <c r="F58" s="4"/>
      <c r="G58" s="105"/>
      <c r="H58" s="4"/>
      <c r="I58" s="4">
        <f>+I56</f>
        <v>0</v>
      </c>
      <c r="J58" s="45"/>
    </row>
    <row r="59" spans="2:10">
      <c r="B59" s="1"/>
      <c r="C59" s="1"/>
      <c r="D59" s="1"/>
      <c r="E59" s="6"/>
      <c r="F59" s="5"/>
      <c r="G59" s="109"/>
      <c r="H59" s="5"/>
      <c r="I59" s="5">
        <f>+I57</f>
        <v>0</v>
      </c>
      <c r="J59" s="9"/>
    </row>
    <row r="60" spans="2:10">
      <c r="B60" s="2"/>
      <c r="C60" s="2"/>
      <c r="D60" s="2"/>
      <c r="E60" s="2" t="s">
        <v>218</v>
      </c>
      <c r="F60" s="114">
        <f>+K154</f>
        <v>18.22</v>
      </c>
      <c r="G60" s="105" t="s">
        <v>123</v>
      </c>
      <c r="H60" s="4">
        <f>+D151</f>
        <v>0</v>
      </c>
      <c r="I60" s="106">
        <f>+IF(H60&gt;0,INT(H60*F60%),0)</f>
        <v>0</v>
      </c>
      <c r="J60" s="45"/>
    </row>
    <row r="61" spans="2:10">
      <c r="B61" s="1"/>
      <c r="C61" s="1"/>
      <c r="D61" s="1"/>
      <c r="E61" s="6"/>
      <c r="F61" s="115">
        <f>+K155</f>
        <v>0</v>
      </c>
      <c r="G61" s="109"/>
      <c r="H61" s="5">
        <f>+D152</f>
        <v>0</v>
      </c>
      <c r="I61" s="110">
        <f>+IF(H61&gt;0,INT(H61*F61%),0)</f>
        <v>0</v>
      </c>
      <c r="J61" s="116"/>
    </row>
    <row r="62" spans="2:10">
      <c r="B62" s="2"/>
      <c r="C62" s="2"/>
      <c r="D62" s="2"/>
      <c r="E62" s="2" t="s">
        <v>219</v>
      </c>
      <c r="F62" s="4"/>
      <c r="G62" s="105"/>
      <c r="H62" s="4"/>
      <c r="I62" s="4">
        <f>+I60</f>
        <v>0</v>
      </c>
      <c r="J62" s="45"/>
    </row>
    <row r="63" spans="2:10">
      <c r="B63" s="1"/>
      <c r="C63" s="1"/>
      <c r="D63" s="1"/>
      <c r="E63" s="6"/>
      <c r="F63" s="5"/>
      <c r="G63" s="109"/>
      <c r="H63" s="5"/>
      <c r="I63" s="5">
        <f>+I61</f>
        <v>0</v>
      </c>
      <c r="J63" s="9"/>
    </row>
    <row r="64" spans="2:10">
      <c r="B64" s="2"/>
      <c r="C64" s="2"/>
      <c r="D64" s="2"/>
      <c r="E64" s="2" t="s">
        <v>118</v>
      </c>
      <c r="F64" s="4"/>
      <c r="G64" s="105"/>
      <c r="H64" s="4"/>
      <c r="I64" s="4">
        <f>+SUM(I54,I58,I62)</f>
        <v>0</v>
      </c>
      <c r="J64" s="45" t="s">
        <v>133</v>
      </c>
    </row>
    <row r="65" spans="2:12">
      <c r="B65" s="1"/>
      <c r="C65" s="1"/>
      <c r="D65" s="1"/>
      <c r="E65" s="6"/>
      <c r="F65" s="5"/>
      <c r="G65" s="109"/>
      <c r="H65" s="5"/>
      <c r="I65" s="5">
        <f>+SUM(I55,I59,I63)</f>
        <v>0</v>
      </c>
      <c r="J65" s="9"/>
    </row>
    <row r="66" spans="2:12">
      <c r="B66" s="2"/>
      <c r="C66" s="2"/>
      <c r="D66" s="2" t="s">
        <v>138</v>
      </c>
      <c r="E66" s="2"/>
      <c r="F66" s="4"/>
      <c r="G66" s="105"/>
      <c r="H66" s="4"/>
      <c r="I66" s="106">
        <f>+I44+I64</f>
        <v>0</v>
      </c>
      <c r="J66" s="45" t="s">
        <v>135</v>
      </c>
    </row>
    <row r="67" spans="2:12">
      <c r="B67" s="1"/>
      <c r="C67" s="1"/>
      <c r="D67" s="1"/>
      <c r="E67" s="6"/>
      <c r="F67" s="5"/>
      <c r="G67" s="109"/>
      <c r="H67" s="5"/>
      <c r="I67" s="110">
        <f>+I29+I65</f>
        <v>0</v>
      </c>
      <c r="J67" s="9"/>
    </row>
    <row r="68" spans="2:12">
      <c r="B68" s="2"/>
      <c r="C68" s="2"/>
      <c r="D68" s="2" t="s">
        <v>140</v>
      </c>
      <c r="E68" s="2"/>
      <c r="F68" s="4"/>
      <c r="G68" s="105"/>
      <c r="H68" s="4"/>
      <c r="I68" s="4"/>
      <c r="J68" s="8"/>
    </row>
    <row r="69" spans="2:12">
      <c r="B69" s="1"/>
      <c r="C69" s="1"/>
      <c r="D69" s="1"/>
      <c r="E69" s="6"/>
      <c r="F69" s="5"/>
      <c r="G69" s="109"/>
      <c r="H69" s="5"/>
      <c r="I69" s="5"/>
      <c r="J69" s="9"/>
    </row>
    <row r="70" spans="2:12">
      <c r="B70" s="2"/>
      <c r="C70" s="2"/>
      <c r="D70" s="2"/>
      <c r="E70" s="2" t="s">
        <v>141</v>
      </c>
      <c r="F70" s="114">
        <f>+L190</f>
        <v>23.57</v>
      </c>
      <c r="G70" s="105" t="s">
        <v>123</v>
      </c>
      <c r="H70" s="4">
        <f>+I66</f>
        <v>0</v>
      </c>
      <c r="I70" s="4">
        <f>+L70-L76</f>
        <v>0</v>
      </c>
      <c r="J70" s="7" t="str">
        <f>+"（"&amp;FIXED(L70,0)&amp;"）"</f>
        <v>（0）</v>
      </c>
      <c r="L70" s="117">
        <f>+ROUND(H70*F70%,0)</f>
        <v>0</v>
      </c>
    </row>
    <row r="71" spans="2:12">
      <c r="B71" s="1"/>
      <c r="C71" s="1"/>
      <c r="D71" s="1"/>
      <c r="E71" s="6"/>
      <c r="F71" s="115">
        <f>+L191</f>
        <v>0</v>
      </c>
      <c r="G71" s="109"/>
      <c r="H71" s="5">
        <f>+I67</f>
        <v>0</v>
      </c>
      <c r="I71" s="5">
        <f>+L71-L77</f>
        <v>0</v>
      </c>
      <c r="J71" s="118" t="str">
        <f>+IF(H71&gt;0,"（"&amp;FIXED(L71,0)&amp;"）","")</f>
        <v/>
      </c>
      <c r="L71" s="117">
        <f>+ROUND(H71*F71%,0)</f>
        <v>0</v>
      </c>
    </row>
    <row r="72" spans="2:12">
      <c r="B72" s="2"/>
      <c r="C72" s="2"/>
      <c r="D72" s="2"/>
      <c r="E72" s="2" t="s">
        <v>142</v>
      </c>
      <c r="F72" s="114">
        <f>+IF(H72&gt;0,0.04,0)</f>
        <v>0</v>
      </c>
      <c r="G72" s="105" t="s">
        <v>123</v>
      </c>
      <c r="H72" s="4">
        <f>+I66</f>
        <v>0</v>
      </c>
      <c r="I72" s="4">
        <f>+INT(H72*F72%)</f>
        <v>0</v>
      </c>
      <c r="J72" s="8" t="s">
        <v>143</v>
      </c>
    </row>
    <row r="73" spans="2:12">
      <c r="B73" s="1"/>
      <c r="C73" s="1"/>
      <c r="D73" s="1"/>
      <c r="E73" s="6"/>
      <c r="F73" s="115">
        <f>+IF(H73&gt;0,0.04,0)</f>
        <v>0</v>
      </c>
      <c r="G73" s="109"/>
      <c r="H73" s="5">
        <f>+I67</f>
        <v>0</v>
      </c>
      <c r="I73" s="5">
        <f>+IF(H73&gt;0,I72,0)</f>
        <v>0</v>
      </c>
      <c r="J73" s="9"/>
    </row>
    <row r="74" spans="2:12">
      <c r="B74" s="2"/>
      <c r="C74" s="2"/>
      <c r="D74" s="2"/>
      <c r="E74" s="2" t="s">
        <v>11</v>
      </c>
      <c r="F74" s="4">
        <v>1</v>
      </c>
      <c r="G74" s="105" t="s">
        <v>117</v>
      </c>
      <c r="H74" s="4"/>
      <c r="I74" s="4">
        <f>+I70+I72</f>
        <v>0</v>
      </c>
      <c r="J74" s="8" t="s">
        <v>144</v>
      </c>
      <c r="L74" s="117">
        <f>I14+I66+L70+I72</f>
        <v>0</v>
      </c>
    </row>
    <row r="75" spans="2:12">
      <c r="B75" s="1"/>
      <c r="C75" s="1"/>
      <c r="D75" s="1"/>
      <c r="E75" s="6"/>
      <c r="F75" s="5"/>
      <c r="G75" s="109"/>
      <c r="H75" s="5"/>
      <c r="I75" s="5">
        <f>+I71+I73</f>
        <v>0</v>
      </c>
      <c r="J75" s="9"/>
      <c r="L75" s="117">
        <f>I15+I67+L71+I73</f>
        <v>0</v>
      </c>
    </row>
    <row r="76" spans="2:12">
      <c r="B76" s="2"/>
      <c r="C76" s="2" t="s">
        <v>145</v>
      </c>
      <c r="D76" s="2"/>
      <c r="E76" s="2"/>
      <c r="F76" s="4"/>
      <c r="G76" s="105"/>
      <c r="H76" s="4"/>
      <c r="I76" s="106">
        <f>+INT(L74/10000)*10000</f>
        <v>0</v>
      </c>
      <c r="J76" s="45" t="s">
        <v>220</v>
      </c>
      <c r="L76" s="117">
        <f>+L74-I76</f>
        <v>0</v>
      </c>
    </row>
    <row r="77" spans="2:12">
      <c r="B77" s="1"/>
      <c r="C77" s="1"/>
      <c r="D77" s="1"/>
      <c r="E77" s="6"/>
      <c r="F77" s="5"/>
      <c r="G77" s="109"/>
      <c r="H77" s="5"/>
      <c r="I77" s="110">
        <f>+INT(L75/1000)*1000</f>
        <v>0</v>
      </c>
      <c r="J77" s="9"/>
      <c r="L77" s="117">
        <f>+L75-I77</f>
        <v>0</v>
      </c>
    </row>
    <row r="78" spans="2:12">
      <c r="B78" s="2"/>
      <c r="C78" s="2"/>
      <c r="D78" s="2"/>
      <c r="E78" s="2"/>
      <c r="F78" s="4"/>
      <c r="G78" s="105"/>
      <c r="H78" s="4"/>
      <c r="I78" s="4"/>
      <c r="J78" s="45"/>
    </row>
    <row r="79" spans="2:12">
      <c r="B79" s="1"/>
      <c r="C79" s="1"/>
      <c r="D79" s="1"/>
      <c r="E79" s="6"/>
      <c r="F79" s="5"/>
      <c r="G79" s="109"/>
      <c r="H79" s="5"/>
      <c r="I79" s="5"/>
      <c r="J79" s="9"/>
    </row>
    <row r="80" spans="2:12">
      <c r="B80" s="2"/>
      <c r="C80" s="2"/>
      <c r="D80" s="2"/>
      <c r="E80" s="2"/>
      <c r="F80" s="4"/>
      <c r="G80" s="105"/>
      <c r="H80" s="4"/>
      <c r="I80" s="4"/>
      <c r="J80" s="45"/>
    </row>
    <row r="81" spans="2:10">
      <c r="B81" s="1"/>
      <c r="C81" s="1"/>
      <c r="D81" s="1"/>
      <c r="E81" s="6"/>
      <c r="F81" s="5"/>
      <c r="G81" s="109"/>
      <c r="H81" s="5"/>
      <c r="I81" s="5"/>
      <c r="J81" s="9"/>
    </row>
    <row r="82" spans="2:10">
      <c r="B82" s="2"/>
      <c r="C82" s="2"/>
      <c r="D82" s="2"/>
      <c r="E82" s="2"/>
      <c r="F82" s="4"/>
      <c r="G82" s="105"/>
      <c r="H82" s="4"/>
      <c r="I82" s="4"/>
      <c r="J82" s="45"/>
    </row>
    <row r="83" spans="2:10">
      <c r="B83" s="1"/>
      <c r="C83" s="1"/>
      <c r="D83" s="1"/>
      <c r="E83" s="6"/>
      <c r="F83" s="5"/>
      <c r="G83" s="109"/>
      <c r="H83" s="5"/>
      <c r="I83" s="5"/>
      <c r="J83" s="9"/>
    </row>
    <row r="84" spans="2:10">
      <c r="B84" s="2"/>
      <c r="C84" s="2"/>
      <c r="D84" s="2"/>
      <c r="E84" s="2"/>
      <c r="F84" s="4"/>
      <c r="G84" s="105"/>
      <c r="H84" s="4"/>
      <c r="I84" s="4"/>
      <c r="J84" s="45"/>
    </row>
    <row r="85" spans="2:10">
      <c r="B85" s="1"/>
      <c r="C85" s="1"/>
      <c r="D85" s="1"/>
      <c r="E85" s="6"/>
      <c r="F85" s="5"/>
      <c r="G85" s="109"/>
      <c r="H85" s="5"/>
      <c r="I85" s="5"/>
      <c r="J85" s="9"/>
    </row>
    <row r="86" spans="2:10">
      <c r="B86" s="2"/>
      <c r="C86" s="2"/>
      <c r="D86" s="2"/>
      <c r="E86" s="2"/>
      <c r="F86" s="4"/>
      <c r="G86" s="105"/>
      <c r="H86" s="4"/>
      <c r="I86" s="4"/>
      <c r="J86" s="45"/>
    </row>
    <row r="87" spans="2:10">
      <c r="B87" s="1"/>
      <c r="C87" s="1"/>
      <c r="D87" s="1"/>
      <c r="E87" s="6"/>
      <c r="F87" s="5"/>
      <c r="G87" s="109"/>
      <c r="H87" s="5"/>
      <c r="I87" s="5"/>
      <c r="J87" s="9"/>
    </row>
    <row r="88" spans="2:10">
      <c r="B88" s="2"/>
      <c r="C88" s="2"/>
      <c r="D88" s="2"/>
      <c r="E88" s="2"/>
      <c r="F88" s="4"/>
      <c r="G88" s="105"/>
      <c r="H88" s="4"/>
      <c r="I88" s="4"/>
      <c r="J88" s="45"/>
    </row>
    <row r="89" spans="2:10">
      <c r="B89" s="1"/>
      <c r="C89" s="1"/>
      <c r="D89" s="1"/>
      <c r="E89" s="6"/>
      <c r="F89" s="5"/>
      <c r="G89" s="109"/>
      <c r="H89" s="5"/>
      <c r="I89" s="5"/>
      <c r="J89" s="9"/>
    </row>
    <row r="90" spans="2:10">
      <c r="B90" s="2"/>
      <c r="C90" s="2"/>
      <c r="D90" s="2"/>
      <c r="E90" s="2"/>
      <c r="F90" s="4"/>
      <c r="G90" s="105"/>
      <c r="H90" s="4"/>
      <c r="I90" s="4"/>
      <c r="J90" s="45"/>
    </row>
    <row r="91" spans="2:10">
      <c r="B91" s="1"/>
      <c r="C91" s="1"/>
      <c r="D91" s="1"/>
      <c r="E91" s="6"/>
      <c r="F91" s="5"/>
      <c r="G91" s="109"/>
      <c r="H91" s="5"/>
      <c r="I91" s="5"/>
      <c r="J91" s="9"/>
    </row>
    <row r="92" spans="2:10">
      <c r="B92" s="2"/>
      <c r="C92" s="2"/>
      <c r="D92" s="2"/>
      <c r="E92" s="2"/>
      <c r="F92" s="4"/>
      <c r="G92" s="105"/>
      <c r="H92" s="4"/>
      <c r="I92" s="4"/>
      <c r="J92" s="45"/>
    </row>
    <row r="93" spans="2:10">
      <c r="B93" s="1"/>
      <c r="C93" s="1"/>
      <c r="D93" s="1"/>
      <c r="E93" s="6"/>
      <c r="F93" s="5"/>
      <c r="G93" s="109"/>
      <c r="H93" s="5"/>
      <c r="I93" s="5"/>
      <c r="J93" s="9"/>
    </row>
    <row r="94" spans="2:10">
      <c r="B94" s="2"/>
      <c r="C94" s="2"/>
      <c r="D94" s="2"/>
      <c r="E94" s="2"/>
      <c r="F94" s="4"/>
      <c r="G94" s="105"/>
      <c r="H94" s="4"/>
      <c r="I94" s="4"/>
      <c r="J94" s="45"/>
    </row>
    <row r="95" spans="2:10">
      <c r="B95" s="1"/>
      <c r="C95" s="1"/>
      <c r="D95" s="1"/>
      <c r="E95" s="6"/>
      <c r="F95" s="5"/>
      <c r="G95" s="109"/>
      <c r="H95" s="5"/>
      <c r="I95" s="5"/>
      <c r="J95" s="9"/>
    </row>
    <row r="96" spans="2:10">
      <c r="B96" s="2"/>
      <c r="C96" s="2"/>
      <c r="D96" s="2"/>
      <c r="E96" s="2"/>
      <c r="F96" s="4"/>
      <c r="G96" s="105"/>
      <c r="H96" s="4"/>
      <c r="I96" s="4"/>
      <c r="J96" s="45"/>
    </row>
    <row r="97" spans="2:10">
      <c r="B97" s="1"/>
      <c r="C97" s="1"/>
      <c r="D97" s="1"/>
      <c r="E97" s="6"/>
      <c r="F97" s="5"/>
      <c r="G97" s="109"/>
      <c r="H97" s="5"/>
      <c r="I97" s="5"/>
      <c r="J97" s="9"/>
    </row>
    <row r="98" spans="2:10">
      <c r="B98" s="2"/>
      <c r="C98" s="2"/>
      <c r="D98" s="2"/>
      <c r="E98" s="2"/>
      <c r="F98" s="4"/>
      <c r="G98" s="105"/>
      <c r="H98" s="4"/>
      <c r="I98" s="4"/>
      <c r="J98" s="45"/>
    </row>
    <row r="99" spans="2:10">
      <c r="B99" s="1"/>
      <c r="C99" s="1"/>
      <c r="D99" s="1"/>
      <c r="E99" s="6"/>
      <c r="F99" s="5"/>
      <c r="G99" s="109"/>
      <c r="H99" s="5"/>
      <c r="I99" s="5"/>
      <c r="J99" s="9"/>
    </row>
    <row r="100" spans="2:10">
      <c r="B100" s="2"/>
      <c r="C100" s="2"/>
      <c r="D100" s="2"/>
      <c r="E100" s="2"/>
      <c r="F100" s="4"/>
      <c r="G100" s="105"/>
      <c r="H100" s="4"/>
      <c r="I100" s="4"/>
      <c r="J100" s="45"/>
    </row>
    <row r="101" spans="2:10">
      <c r="B101" s="1"/>
      <c r="C101" s="1"/>
      <c r="D101" s="1"/>
      <c r="E101" s="6"/>
      <c r="F101" s="5"/>
      <c r="G101" s="109"/>
      <c r="H101" s="5"/>
      <c r="I101" s="5"/>
      <c r="J101" s="9"/>
    </row>
    <row r="102" spans="2:10">
      <c r="B102" s="2"/>
      <c r="C102" s="2"/>
      <c r="D102" s="2"/>
      <c r="E102" s="2"/>
      <c r="F102" s="4"/>
      <c r="G102" s="105"/>
      <c r="H102" s="4"/>
      <c r="I102" s="4"/>
      <c r="J102" s="45"/>
    </row>
    <row r="103" spans="2:10">
      <c r="B103" s="1"/>
      <c r="C103" s="1"/>
      <c r="D103" s="1"/>
      <c r="E103" s="6"/>
      <c r="F103" s="5"/>
      <c r="G103" s="109"/>
      <c r="H103" s="5"/>
      <c r="I103" s="5"/>
      <c r="J103" s="9"/>
    </row>
    <row r="104" spans="2:10">
      <c r="B104" s="2"/>
      <c r="C104" s="2"/>
      <c r="D104" s="2"/>
      <c r="E104" s="2"/>
      <c r="F104" s="4"/>
      <c r="G104" s="105"/>
      <c r="H104" s="4"/>
      <c r="I104" s="4"/>
      <c r="J104" s="45"/>
    </row>
    <row r="105" spans="2:10">
      <c r="B105" s="1"/>
      <c r="C105" s="1"/>
      <c r="D105" s="1"/>
      <c r="E105" s="6"/>
      <c r="F105" s="5"/>
      <c r="G105" s="109"/>
      <c r="H105" s="5"/>
      <c r="I105" s="5"/>
      <c r="J105" s="9"/>
    </row>
    <row r="106" spans="2:10">
      <c r="B106" s="16"/>
      <c r="C106" s="17"/>
      <c r="D106" s="17"/>
      <c r="E106" s="17"/>
      <c r="F106" s="17"/>
      <c r="G106" s="17"/>
      <c r="H106" s="17"/>
      <c r="I106" s="17"/>
      <c r="J106" s="18"/>
    </row>
    <row r="107" spans="2:10">
      <c r="B107" s="119" t="s">
        <v>147</v>
      </c>
      <c r="J107" s="120" t="s">
        <v>938</v>
      </c>
    </row>
    <row r="108" spans="2:10">
      <c r="B108" s="119"/>
      <c r="J108" s="120" t="s">
        <v>821</v>
      </c>
    </row>
    <row r="109" spans="2:10">
      <c r="B109" s="119" t="s">
        <v>221</v>
      </c>
      <c r="J109" s="120" t="s">
        <v>939</v>
      </c>
    </row>
    <row r="110" spans="2:10">
      <c r="B110" s="119"/>
      <c r="C110" t="s">
        <v>222</v>
      </c>
      <c r="J110" s="121"/>
    </row>
    <row r="111" spans="2:10">
      <c r="B111" s="119"/>
      <c r="C111" t="s">
        <v>150</v>
      </c>
      <c r="J111" s="121"/>
    </row>
    <row r="112" spans="2:10">
      <c r="B112" s="119"/>
      <c r="C112" t="s">
        <v>223</v>
      </c>
      <c r="J112" s="121"/>
    </row>
    <row r="113" spans="2:15">
      <c r="B113" s="119"/>
      <c r="C113" t="s">
        <v>152</v>
      </c>
      <c r="J113" s="121"/>
    </row>
    <row r="114" spans="2:15">
      <c r="B114" s="119"/>
      <c r="D114" t="s">
        <v>224</v>
      </c>
      <c r="F114" s="122">
        <v>18.7</v>
      </c>
      <c r="G114" t="s">
        <v>154</v>
      </c>
      <c r="J114" s="121"/>
    </row>
    <row r="115" spans="2:15">
      <c r="B115" s="119"/>
      <c r="D115" t="s">
        <v>172</v>
      </c>
      <c r="F115" s="122">
        <v>5.98</v>
      </c>
      <c r="G115" t="s">
        <v>154</v>
      </c>
      <c r="J115" s="121"/>
    </row>
    <row r="116" spans="2:15">
      <c r="B116" s="119"/>
      <c r="J116" s="121"/>
    </row>
    <row r="117" spans="2:15">
      <c r="B117" s="119"/>
      <c r="C117" s="82" t="s">
        <v>156</v>
      </c>
      <c r="D117" s="36">
        <f>I44</f>
        <v>0</v>
      </c>
      <c r="E117" t="s">
        <v>157</v>
      </c>
      <c r="J117" s="121"/>
    </row>
    <row r="118" spans="2:15">
      <c r="B118" s="119"/>
      <c r="D118" s="36">
        <f>+I29</f>
        <v>0</v>
      </c>
      <c r="J118" s="121"/>
    </row>
    <row r="119" spans="2:15">
      <c r="B119" s="119"/>
      <c r="J119" s="121"/>
      <c r="L119" s="50" t="s">
        <v>158</v>
      </c>
      <c r="M119" s="50" t="s">
        <v>159</v>
      </c>
      <c r="N119" s="50" t="s">
        <v>160</v>
      </c>
    </row>
    <row r="120" spans="2:15">
      <c r="B120" s="119"/>
      <c r="C120" s="82" t="s">
        <v>161</v>
      </c>
      <c r="D120" t="str">
        <f>+IF(O120=1,FIXED(K120,2)&amp;" %",IF(O120=2,"349.9×"&amp;FIXED(D117,0)&amp;" ^-0.1964　＝　"&amp;FIXED(K120,2)&amp;" %",IF(O120=3,FIXED(K120,2),0)))</f>
        <v>18.70 %</v>
      </c>
      <c r="J120" s="121"/>
      <c r="K120">
        <f>+SUM(L120:N120)</f>
        <v>18.7</v>
      </c>
      <c r="L120">
        <f>+IF(D117&lt;=3000000,F114,0)</f>
        <v>18.7</v>
      </c>
      <c r="M120">
        <f>+IF(AND(D117&gt;=3000000,D117&lt;1000000000),ROUND(349.9*D117^-0.1964,2),0)</f>
        <v>0</v>
      </c>
      <c r="N120">
        <f>+IF(D117&gt;1000000000,F115,0)</f>
        <v>0</v>
      </c>
      <c r="O120">
        <f>+IF(L120&gt;0,1,IF(M120&gt;0,2,IF(N120&gt;0,3,0)))</f>
        <v>1</v>
      </c>
    </row>
    <row r="121" spans="2:15">
      <c r="B121" s="119"/>
      <c r="D121">
        <f>+IF(O121=1,FIXED(K121,2)&amp;" %",IF(O121=2,"349.9×"&amp;FIXED(D118,0)&amp;" ^-0.1964　＝　"&amp;FIXED(K121,2)&amp;" %",IF(O121=3,FIXED(K121,2),0)))</f>
        <v>0</v>
      </c>
      <c r="J121" s="121"/>
      <c r="K121">
        <f>+SUM(L121:N121)</f>
        <v>0</v>
      </c>
      <c r="L121">
        <f>+IF(D118&gt;0,IF(D118&lt;=3000000,F114,0),0)</f>
        <v>0</v>
      </c>
      <c r="M121">
        <f>+IF(AND(D118&gt;=1000000,D118&lt;500000000),ROUND(349.9*D118^-0.1964,2),0)</f>
        <v>0</v>
      </c>
      <c r="N121">
        <f>+IF(D118&gt;0,IF(D118&gt;1000000000,F115,0),0)</f>
        <v>0</v>
      </c>
      <c r="O121">
        <f>+IF(L121&gt;0,1,IF(M121&gt;0,2,IF(N121&gt;0,3,0)))</f>
        <v>0</v>
      </c>
    </row>
    <row r="122" spans="2:15">
      <c r="B122" s="119"/>
      <c r="J122" s="121"/>
    </row>
    <row r="123" spans="2:15">
      <c r="B123" s="119"/>
      <c r="J123" s="121"/>
    </row>
    <row r="124" spans="2:15">
      <c r="B124" s="119" t="s">
        <v>162</v>
      </c>
      <c r="J124" s="120" t="s">
        <v>938</v>
      </c>
    </row>
    <row r="125" spans="2:15">
      <c r="B125" s="119"/>
      <c r="J125" s="120" t="s">
        <v>940</v>
      </c>
    </row>
    <row r="126" spans="2:15">
      <c r="B126" s="119" t="s">
        <v>225</v>
      </c>
      <c r="J126" s="120" t="s">
        <v>822</v>
      </c>
    </row>
    <row r="127" spans="2:15">
      <c r="B127" s="119"/>
      <c r="C127" t="s">
        <v>226</v>
      </c>
      <c r="J127" s="121"/>
    </row>
    <row r="128" spans="2:15">
      <c r="B128" s="119"/>
      <c r="C128" t="s">
        <v>164</v>
      </c>
      <c r="J128" s="121"/>
    </row>
    <row r="129" spans="2:15">
      <c r="B129" s="119"/>
      <c r="C129" t="s">
        <v>227</v>
      </c>
      <c r="J129" s="121"/>
    </row>
    <row r="130" spans="2:15">
      <c r="B130" s="119"/>
      <c r="C130" t="s">
        <v>152</v>
      </c>
      <c r="J130" s="121"/>
    </row>
    <row r="131" spans="2:15">
      <c r="B131" s="119"/>
      <c r="D131" t="s">
        <v>224</v>
      </c>
      <c r="F131">
        <v>39.81</v>
      </c>
      <c r="G131" t="s">
        <v>154</v>
      </c>
      <c r="J131" s="121"/>
    </row>
    <row r="132" spans="2:15">
      <c r="B132" s="119"/>
      <c r="D132" t="s">
        <v>172</v>
      </c>
      <c r="F132">
        <v>20.57</v>
      </c>
      <c r="G132" t="s">
        <v>154</v>
      </c>
      <c r="J132" s="121"/>
    </row>
    <row r="133" spans="2:15">
      <c r="B133" s="119"/>
      <c r="J133" s="121"/>
    </row>
    <row r="134" spans="2:15">
      <c r="B134" s="119"/>
      <c r="C134" s="82" t="s">
        <v>156</v>
      </c>
      <c r="D134" s="36">
        <f>+I44+I54</f>
        <v>0</v>
      </c>
      <c r="E134" t="s">
        <v>157</v>
      </c>
      <c r="J134" s="121"/>
    </row>
    <row r="135" spans="2:15">
      <c r="B135" s="119"/>
      <c r="D135" s="36">
        <f>+I29+I55</f>
        <v>0</v>
      </c>
      <c r="J135" s="121"/>
    </row>
    <row r="136" spans="2:15">
      <c r="B136" s="119"/>
      <c r="J136" s="121"/>
      <c r="L136" s="50" t="s">
        <v>158</v>
      </c>
      <c r="M136" s="50" t="s">
        <v>159</v>
      </c>
      <c r="N136" s="50" t="s">
        <v>160</v>
      </c>
    </row>
    <row r="137" spans="2:15">
      <c r="B137" s="119"/>
      <c r="C137" s="82" t="s">
        <v>161</v>
      </c>
      <c r="D137" t="str">
        <f>+IF(O137=1,FIXED(K137,2)&amp;" %",IF(O137=2,"217.0×"&amp;FIXED(D134,0)&amp;" ^-0.1137　＝　"&amp;FIXED(K137,2)&amp;" %",IF(O137=3,FIXED(K137,2),0)))</f>
        <v>39.81 %</v>
      </c>
      <c r="J137" s="121"/>
      <c r="K137">
        <f>+SUM(L137:N137)</f>
        <v>39.81</v>
      </c>
      <c r="L137">
        <f>+IF(D134&lt;=3000000,F131,0)</f>
        <v>39.81</v>
      </c>
      <c r="M137">
        <f>+IF(AND(D134&gt;=3000000,D134&lt;1000000000),ROUND(217*D134^-0.1137,2),0)</f>
        <v>0</v>
      </c>
      <c r="N137">
        <f>+IF(D134&gt;1000000000,F132,0)</f>
        <v>0</v>
      </c>
      <c r="O137">
        <f>+IF(L137&gt;0,1,IF(M137&gt;0,2,IF(N137&gt;0,3,0)))</f>
        <v>1</v>
      </c>
    </row>
    <row r="138" spans="2:15">
      <c r="B138" s="119"/>
      <c r="D138">
        <f>+IF(O138=1,FIXED(K138,2)&amp;" %",IF(O138=2,"217.0×"&amp;FIXED(D135,0)&amp;" ^-0.1137　＝　"&amp;FIXED(K138,2)&amp;" %",IF(O138=3,FIXED(K138,2),0)))</f>
        <v>0</v>
      </c>
      <c r="J138" s="121"/>
      <c r="K138">
        <f>+SUM(L138:N138)</f>
        <v>0</v>
      </c>
      <c r="L138">
        <f>+IF(D135&gt;0,IF(D135&lt;=3000000,F131,0),0)</f>
        <v>0</v>
      </c>
      <c r="M138">
        <f>+IF(AND(D135&gt;=3000000,D135&lt;1000000000),ROUND(217*D135^-0.1137,2),0)</f>
        <v>0</v>
      </c>
      <c r="N138">
        <f>+IF(D135&gt;0,IF(D135&gt;1000000000,F132,0),0)</f>
        <v>0</v>
      </c>
      <c r="O138">
        <f>+IF(L138&gt;0,1,IF(M138&gt;0,2,IF(N138&gt;0,3,0)))</f>
        <v>0</v>
      </c>
    </row>
    <row r="139" spans="2:15">
      <c r="B139" s="119"/>
      <c r="J139" s="121"/>
    </row>
    <row r="140" spans="2:15">
      <c r="B140" s="119"/>
      <c r="J140" s="121"/>
    </row>
    <row r="141" spans="2:15">
      <c r="B141" s="119" t="s">
        <v>228</v>
      </c>
      <c r="J141" s="120"/>
    </row>
    <row r="142" spans="2:15">
      <c r="B142" s="119"/>
      <c r="J142" s="120" t="s">
        <v>821</v>
      </c>
    </row>
    <row r="143" spans="2:15">
      <c r="B143" s="119" t="s">
        <v>229</v>
      </c>
      <c r="J143" s="121"/>
    </row>
    <row r="144" spans="2:15">
      <c r="B144" s="119"/>
      <c r="C144" t="s">
        <v>230</v>
      </c>
      <c r="J144" s="121"/>
    </row>
    <row r="145" spans="2:15">
      <c r="B145" s="119"/>
      <c r="C145" t="s">
        <v>231</v>
      </c>
      <c r="J145" s="121"/>
    </row>
    <row r="146" spans="2:15">
      <c r="B146" s="119"/>
      <c r="C146" t="s">
        <v>232</v>
      </c>
      <c r="J146" s="121"/>
    </row>
    <row r="147" spans="2:15">
      <c r="B147" s="119"/>
      <c r="C147" t="s">
        <v>152</v>
      </c>
      <c r="J147" s="121"/>
    </row>
    <row r="148" spans="2:15">
      <c r="B148" s="119"/>
      <c r="D148" t="s">
        <v>233</v>
      </c>
      <c r="F148">
        <v>18.22</v>
      </c>
      <c r="G148" t="s">
        <v>154</v>
      </c>
      <c r="J148" s="121"/>
    </row>
    <row r="149" spans="2:15">
      <c r="B149" s="119"/>
      <c r="D149" t="s">
        <v>234</v>
      </c>
      <c r="F149">
        <v>5.21</v>
      </c>
      <c r="G149" t="s">
        <v>154</v>
      </c>
      <c r="J149" s="121"/>
    </row>
    <row r="150" spans="2:15">
      <c r="B150" s="119"/>
      <c r="J150" s="121"/>
    </row>
    <row r="151" spans="2:15">
      <c r="B151" s="119"/>
      <c r="C151" s="82" t="s">
        <v>156</v>
      </c>
      <c r="D151" s="36">
        <f>+I14</f>
        <v>0</v>
      </c>
      <c r="E151" t="s">
        <v>157</v>
      </c>
      <c r="J151" s="121"/>
    </row>
    <row r="152" spans="2:15">
      <c r="B152" s="119"/>
      <c r="D152" s="36">
        <f>+I15</f>
        <v>0</v>
      </c>
      <c r="J152" s="121"/>
    </row>
    <row r="153" spans="2:15">
      <c r="B153" s="119"/>
      <c r="J153" s="121"/>
      <c r="L153" s="50" t="s">
        <v>158</v>
      </c>
      <c r="M153" s="50" t="s">
        <v>159</v>
      </c>
      <c r="N153" s="50" t="s">
        <v>160</v>
      </c>
    </row>
    <row r="154" spans="2:15">
      <c r="B154" s="119"/>
      <c r="C154" s="82" t="s">
        <v>161</v>
      </c>
      <c r="D154" t="str">
        <f>+IF(O154=1,FIXED(K154,2)&amp;" %",IF(O154=2,"42380.2×"&amp;FIXED(D151,0)&amp;" ^-0.4711　＝　"&amp;FIXED(K154,2)&amp;" %",IF(O154=3,FIXED(K154,2),0)))</f>
        <v>18.22 %</v>
      </c>
      <c r="J154" s="121"/>
      <c r="K154">
        <f>+SUM(L154:N154)</f>
        <v>18.22</v>
      </c>
      <c r="L154">
        <f>+IF(D151&lt;=14000000,F148,0)</f>
        <v>18.22</v>
      </c>
      <c r="M154">
        <f>+IF(AND(D151&gt;=14000000,D151&lt;200000000),ROUND(42380.2*D151^-0.4711,2),0)</f>
        <v>0</v>
      </c>
      <c r="N154">
        <f>+IF(D151&gt;200000000,F149,0)</f>
        <v>0</v>
      </c>
      <c r="O154">
        <f>+IF(L154&gt;0,1,IF(M154&gt;0,2,IF(N154&gt;0,3,0)))</f>
        <v>1</v>
      </c>
    </row>
    <row r="155" spans="2:15">
      <c r="B155" s="119"/>
      <c r="D155">
        <f>+IF(O155=1,FIXED(K155,2)&amp;" %",IF(O155=2,"42380.2×"&amp;FIXED(D152,0)&amp;" ^-0.4711　＝　"&amp;FIXED(K155,2)&amp;" %",IF(O155=3,FIXED(K155,2),0)))</f>
        <v>0</v>
      </c>
      <c r="J155" s="121"/>
      <c r="K155">
        <f>+SUM(L155:N155)</f>
        <v>0</v>
      </c>
      <c r="L155">
        <f>+IF(D152&gt;0,IF(D152&lt;=14000000,F148,0),0)</f>
        <v>0</v>
      </c>
      <c r="M155">
        <f>+IF(AND(D152&gt;=14000000,D152&lt;200000000),ROUND(42380.2*D152^-0.4711,2),0)</f>
        <v>0</v>
      </c>
      <c r="N155">
        <f>+IF(D152&gt;0,IF(D152&gt;200000000,F149,0),0)</f>
        <v>0</v>
      </c>
      <c r="O155">
        <f>+IF(L155&gt;0,1,IF(M155&gt;0,2,IF(N155&gt;0,3,0)))</f>
        <v>0</v>
      </c>
    </row>
    <row r="156" spans="2:15">
      <c r="B156" s="119"/>
      <c r="J156" s="121"/>
    </row>
    <row r="157" spans="2:15">
      <c r="B157" s="119"/>
      <c r="J157" s="121"/>
    </row>
    <row r="158" spans="2:15">
      <c r="B158" s="119"/>
      <c r="J158" s="121"/>
    </row>
    <row r="159" spans="2:15">
      <c r="B159" s="119"/>
      <c r="J159" s="121"/>
    </row>
    <row r="160" spans="2:15">
      <c r="B160" s="119"/>
      <c r="J160" s="121"/>
    </row>
    <row r="161" spans="2:10">
      <c r="B161" s="119"/>
      <c r="J161" s="121"/>
    </row>
    <row r="162" spans="2:10">
      <c r="B162" s="119"/>
      <c r="J162" s="121"/>
    </row>
    <row r="163" spans="2:10">
      <c r="B163" s="19"/>
      <c r="C163" s="20"/>
      <c r="D163" s="20"/>
      <c r="E163" s="20"/>
      <c r="F163" s="20"/>
      <c r="G163" s="20"/>
      <c r="H163" s="20"/>
      <c r="I163" s="20"/>
      <c r="J163" s="21"/>
    </row>
    <row r="164" spans="2:10">
      <c r="B164" s="16"/>
      <c r="J164" s="121"/>
    </row>
    <row r="165" spans="2:10">
      <c r="B165" s="119" t="s">
        <v>173</v>
      </c>
      <c r="J165" s="120" t="s">
        <v>938</v>
      </c>
    </row>
    <row r="166" spans="2:10">
      <c r="B166" s="119"/>
      <c r="J166" s="120" t="s">
        <v>941</v>
      </c>
    </row>
    <row r="167" spans="2:10">
      <c r="B167" s="119" t="s">
        <v>235</v>
      </c>
      <c r="J167" s="120" t="s">
        <v>942</v>
      </c>
    </row>
    <row r="168" spans="2:10">
      <c r="B168" s="119"/>
      <c r="C168" t="s">
        <v>865</v>
      </c>
      <c r="J168" s="121"/>
    </row>
    <row r="169" spans="2:10">
      <c r="B169" s="119"/>
      <c r="C169" t="s">
        <v>236</v>
      </c>
      <c r="J169" s="121"/>
    </row>
    <row r="170" spans="2:10">
      <c r="B170" s="119"/>
      <c r="C170" t="s">
        <v>176</v>
      </c>
      <c r="J170" s="121"/>
    </row>
    <row r="171" spans="2:10">
      <c r="B171" s="119"/>
      <c r="C171" t="s">
        <v>152</v>
      </c>
      <c r="J171" s="121"/>
    </row>
    <row r="172" spans="2:10">
      <c r="B172" s="119"/>
      <c r="D172" t="s">
        <v>171</v>
      </c>
      <c r="F172" s="122">
        <v>23.57</v>
      </c>
      <c r="G172" t="s">
        <v>154</v>
      </c>
      <c r="J172" s="121"/>
    </row>
    <row r="173" spans="2:10">
      <c r="B173" s="119"/>
      <c r="D173" t="s">
        <v>177</v>
      </c>
      <c r="F173" s="122">
        <v>9.74</v>
      </c>
      <c r="G173" t="s">
        <v>154</v>
      </c>
      <c r="J173" s="121"/>
    </row>
    <row r="174" spans="2:10">
      <c r="B174" s="119"/>
      <c r="J174" s="121"/>
    </row>
    <row r="175" spans="2:10">
      <c r="B175" s="119"/>
      <c r="C175" s="82" t="s">
        <v>156</v>
      </c>
      <c r="D175" s="36">
        <f>+I66</f>
        <v>0</v>
      </c>
      <c r="E175" t="s">
        <v>157</v>
      </c>
      <c r="J175" s="121"/>
    </row>
    <row r="176" spans="2:10">
      <c r="B176" s="119"/>
      <c r="D176" s="36">
        <f>+I67</f>
        <v>0</v>
      </c>
      <c r="J176" s="121"/>
    </row>
    <row r="177" spans="2:15">
      <c r="B177" s="119"/>
      <c r="J177" s="121"/>
      <c r="L177" s="50" t="s">
        <v>158</v>
      </c>
      <c r="M177" s="50" t="s">
        <v>159</v>
      </c>
      <c r="N177" s="50" t="s">
        <v>160</v>
      </c>
    </row>
    <row r="178" spans="2:15">
      <c r="B178" s="119"/>
      <c r="C178" s="82" t="s">
        <v>161</v>
      </c>
      <c r="D178" t="str">
        <f>+IF(O178=1,FIXED(K178,2)&amp;" %",IF(O178=2,"-4.97802×Log("&amp;FIXED(D175,0)&amp;"）+56.92101　＝　"&amp;FIXED(K178,2)&amp;" %",IF(O178=3,FIXED(K178,2),0)))</f>
        <v>23.57 %</v>
      </c>
      <c r="J178" s="121"/>
      <c r="K178">
        <f>+SUM(L178:N178)</f>
        <v>23.57</v>
      </c>
      <c r="L178">
        <f>+IF(D175&lt;=5000000,F172,0)</f>
        <v>23.57</v>
      </c>
      <c r="M178">
        <f>+IF(AND(D175&gt;=5000000,D175&lt;3000000000),ROUND(-5.48972*LOG(D175)+59.4977,2),0)</f>
        <v>0</v>
      </c>
      <c r="N178">
        <f>+IF(D175&gt;3000000000,F173,0)</f>
        <v>0</v>
      </c>
      <c r="O178">
        <f>+IF(L178&gt;0,1,IF(M178&gt;0,2,IF(N178&gt;0,3,0)))</f>
        <v>1</v>
      </c>
    </row>
    <row r="179" spans="2:15">
      <c r="B179" s="119"/>
      <c r="D179">
        <f>+IF(O179=1,FIXED(K179,2)&amp;" %",IF(O179=2,"-5.48972×Log("&amp;FIXED(D176,0)&amp;"）+59.4977　＝　"&amp;FIXED(K179,2)&amp;" %",IF(O179=3,FIXED(K179,2),0)))</f>
        <v>0</v>
      </c>
      <c r="J179" s="121"/>
      <c r="K179">
        <f>+SUM(L179:N179)</f>
        <v>0</v>
      </c>
      <c r="L179">
        <f>+IF(D176&gt;0,IF(D176&lt;=5000000,F172,0),0)</f>
        <v>0</v>
      </c>
      <c r="M179">
        <f>+IF(AND(D176&gt;=5000000,D176&lt;3000000000),ROUND(-5.48972*LOG(D176)+59.4977,2),0)</f>
        <v>0</v>
      </c>
      <c r="N179">
        <f>+IF(D176&gt;0,IF(D176&gt;3000000000,F173,0),0)</f>
        <v>0</v>
      </c>
      <c r="O179">
        <f>+IF(L179&gt;0,1,IF(M179&gt;0,2,IF(N179&gt;0,3,0)))</f>
        <v>0</v>
      </c>
    </row>
    <row r="180" spans="2:15">
      <c r="B180" s="119"/>
      <c r="J180" s="121"/>
    </row>
    <row r="181" spans="2:15">
      <c r="B181" s="119" t="s">
        <v>178</v>
      </c>
      <c r="J181" s="121"/>
      <c r="L181" t="s">
        <v>179</v>
      </c>
      <c r="N181" s="122">
        <v>1.05</v>
      </c>
    </row>
    <row r="182" spans="2:15">
      <c r="B182" s="119"/>
      <c r="E182" s="123" t="s">
        <v>180</v>
      </c>
      <c r="F182" s="124">
        <f>LOOKUP(E182,L181:L185,N181:N185)</f>
        <v>1</v>
      </c>
      <c r="G182" t="s">
        <v>154</v>
      </c>
      <c r="J182" s="121"/>
      <c r="L182" t="s">
        <v>181</v>
      </c>
      <c r="N182" s="122">
        <v>1.04</v>
      </c>
    </row>
    <row r="183" spans="2:15">
      <c r="B183" s="119"/>
      <c r="E183" s="125" t="s">
        <v>180</v>
      </c>
      <c r="F183" s="124">
        <f>LOOKUP(E183,L181:L185,N181:N185)</f>
        <v>1</v>
      </c>
      <c r="J183" s="121"/>
      <c r="L183" t="s">
        <v>182</v>
      </c>
      <c r="N183" s="122">
        <v>1.03</v>
      </c>
    </row>
    <row r="184" spans="2:15">
      <c r="B184" s="119"/>
      <c r="J184" s="121"/>
      <c r="L184" t="s">
        <v>183</v>
      </c>
      <c r="N184" s="122">
        <v>1.01</v>
      </c>
    </row>
    <row r="185" spans="2:15">
      <c r="B185" s="119"/>
      <c r="J185" s="121"/>
      <c r="L185" t="s">
        <v>180</v>
      </c>
      <c r="N185" s="122">
        <v>1</v>
      </c>
    </row>
    <row r="186" spans="2:15">
      <c r="B186" s="119" t="s">
        <v>237</v>
      </c>
      <c r="J186" s="121"/>
    </row>
    <row r="187" spans="2:15">
      <c r="B187" s="119"/>
      <c r="C187" t="s">
        <v>238</v>
      </c>
      <c r="J187" s="121"/>
    </row>
    <row r="188" spans="2:15">
      <c r="B188" s="119"/>
      <c r="C188" t="s">
        <v>192</v>
      </c>
      <c r="J188" s="121"/>
    </row>
    <row r="189" spans="2:15">
      <c r="B189" s="119"/>
      <c r="J189" s="121"/>
    </row>
    <row r="190" spans="2:15">
      <c r="B190" s="119"/>
      <c r="C190" s="82" t="s">
        <v>193</v>
      </c>
      <c r="D190" t="str">
        <f>+FIXED(K178,2)&amp;" × "&amp;FIXED(F182,2)&amp;" 　＝　"&amp;FIXED(L190,2)&amp;" %"</f>
        <v>23.57 × 1.00 　＝　23.57 %</v>
      </c>
      <c r="J190" s="121"/>
      <c r="L190" s="126">
        <f>+ROUND(K178*F182,2)</f>
        <v>23.57</v>
      </c>
    </row>
    <row r="191" spans="2:15">
      <c r="B191" s="119"/>
      <c r="D191" t="str">
        <f>+IF(D176&gt;0,FIXED(K179,2)&amp;" × "&amp;FIXED(F183,2)&amp;" 　＝　"&amp;FIXED(L191,2)&amp;" %","")</f>
        <v/>
      </c>
      <c r="J191" s="121"/>
      <c r="L191" s="126">
        <f>+IF(D176&gt;0,ROUND(K179*F183,2),0)</f>
        <v>0</v>
      </c>
    </row>
    <row r="192" spans="2:15">
      <c r="B192" s="119"/>
      <c r="J192" s="121"/>
    </row>
    <row r="193" spans="2:12">
      <c r="B193" s="119"/>
      <c r="C193" s="82"/>
      <c r="J193" s="121"/>
      <c r="L193" s="126"/>
    </row>
    <row r="194" spans="2:12">
      <c r="B194" s="119"/>
      <c r="J194" s="121"/>
      <c r="L194" s="126"/>
    </row>
    <row r="195" spans="2:12">
      <c r="B195" s="119"/>
      <c r="J195" s="121"/>
    </row>
    <row r="196" spans="2:12">
      <c r="B196" s="119"/>
      <c r="J196" s="121"/>
    </row>
    <row r="197" spans="2:12">
      <c r="B197" s="119"/>
      <c r="J197" s="121"/>
    </row>
    <row r="198" spans="2:12">
      <c r="B198" s="119"/>
      <c r="J198" s="121"/>
    </row>
    <row r="199" spans="2:12">
      <c r="B199" s="119"/>
      <c r="J199" s="121"/>
    </row>
    <row r="200" spans="2:12">
      <c r="B200" s="119"/>
      <c r="J200" s="121"/>
    </row>
    <row r="201" spans="2:12">
      <c r="B201" s="119"/>
      <c r="J201" s="121"/>
    </row>
    <row r="202" spans="2:12">
      <c r="B202" s="119"/>
      <c r="J202" s="121"/>
    </row>
    <row r="203" spans="2:12">
      <c r="B203" s="119"/>
      <c r="J203" s="121"/>
    </row>
    <row r="204" spans="2:12">
      <c r="B204" s="119"/>
      <c r="J204" s="121"/>
    </row>
    <row r="205" spans="2:12">
      <c r="B205" s="119"/>
      <c r="J205" s="121"/>
    </row>
    <row r="206" spans="2:12">
      <c r="B206" s="119"/>
      <c r="J206" s="121"/>
    </row>
    <row r="207" spans="2:12">
      <c r="B207" s="119"/>
      <c r="J207" s="121"/>
    </row>
    <row r="208" spans="2:12">
      <c r="B208" s="119"/>
      <c r="J208" s="121"/>
    </row>
    <row r="209" spans="2:10">
      <c r="B209" s="119"/>
      <c r="J209" s="121"/>
    </row>
    <row r="210" spans="2:10">
      <c r="B210" s="119"/>
      <c r="J210" s="121"/>
    </row>
    <row r="211" spans="2:10">
      <c r="B211" s="119"/>
      <c r="J211" s="121"/>
    </row>
    <row r="212" spans="2:10">
      <c r="B212" s="119"/>
      <c r="J212" s="121"/>
    </row>
    <row r="213" spans="2:10">
      <c r="B213" s="119"/>
      <c r="J213" s="121"/>
    </row>
    <row r="214" spans="2:10">
      <c r="B214" s="119"/>
      <c r="J214" s="121"/>
    </row>
    <row r="215" spans="2:10">
      <c r="B215" s="119"/>
      <c r="J215" s="121"/>
    </row>
    <row r="216" spans="2:10">
      <c r="B216" s="119"/>
      <c r="J216" s="121"/>
    </row>
    <row r="217" spans="2:10">
      <c r="B217" s="119"/>
      <c r="J217" s="121"/>
    </row>
    <row r="218" spans="2:10">
      <c r="B218" s="119"/>
      <c r="J218" s="121"/>
    </row>
    <row r="219" spans="2:10">
      <c r="B219" s="119"/>
      <c r="J219" s="121"/>
    </row>
    <row r="220" spans="2:10">
      <c r="B220" s="119"/>
      <c r="J220" s="121"/>
    </row>
    <row r="221" spans="2:10">
      <c r="B221" s="19"/>
      <c r="C221" s="20"/>
      <c r="D221" s="20"/>
      <c r="E221" s="20"/>
      <c r="F221" s="20"/>
      <c r="G221" s="20"/>
      <c r="H221" s="20"/>
      <c r="I221" s="20"/>
      <c r="J221" s="21"/>
    </row>
  </sheetData>
  <mergeCells count="9">
    <mergeCell ref="J4:J5"/>
    <mergeCell ref="D2:I3"/>
    <mergeCell ref="B4:B5"/>
    <mergeCell ref="C4:C5"/>
    <mergeCell ref="D4:E5"/>
    <mergeCell ref="F4:F5"/>
    <mergeCell ref="G4:G5"/>
    <mergeCell ref="H4:H5"/>
    <mergeCell ref="I4:I5"/>
  </mergeCells>
  <phoneticPr fontId="3"/>
  <dataValidations count="1">
    <dataValidation type="list" allowBlank="1" showInputMessage="1" showErrorMessage="1" sqref="E182:E183" xr:uid="{00000000-0002-0000-2700-000000000000}">
      <formula1>$L$181:$L$185</formula1>
    </dataValidation>
  </dataValidations>
  <hyperlinks>
    <hyperlink ref="A1" location="menu!A1" display="menu" xr:uid="{00000000-0004-0000-2700-000000000000}"/>
  </hyperlinks>
  <printOptions horizontalCentered="1"/>
  <pageMargins left="0.78740157480314965" right="0.39370078740157483" top="0.39370078740157483" bottom="0.39370078740157483" header="0.31496062992125984" footer="0.11811023622047245"/>
  <pageSetup paperSize="9" scale="66" orientation="portrait" blackAndWhite="1" errors="blank" r:id="rId1"/>
  <headerFooter>
    <oddFooter>&amp;C&amp;P</oddFooter>
  </headerFooter>
  <rowBreaks count="3" manualBreakCount="3">
    <brk id="45" min="1" max="9" man="1"/>
    <brk id="105" min="1" max="9" man="1"/>
    <brk id="163" min="1" max="9"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CB57"/>
  <sheetViews>
    <sheetView showGridLines="0" showZeros="0" view="pageBreakPreview" topLeftCell="BL1" zoomScaleNormal="100" zoomScaleSheetLayoutView="100" workbookViewId="0">
      <selection activeCell="BX14" sqref="BX14"/>
    </sheetView>
  </sheetViews>
  <sheetFormatPr defaultRowHeight="18.75"/>
  <cols>
    <col min="2" max="2" width="20.625" customWidth="1"/>
    <col min="3" max="3" width="23.625" customWidth="1"/>
    <col min="4" max="4" width="8.625" customWidth="1"/>
    <col min="5" max="5" width="5.625" customWidth="1"/>
    <col min="6" max="7" width="12.625" customWidth="1"/>
    <col min="8" max="8" width="17.625" customWidth="1"/>
    <col min="9" max="9" width="2.625" customWidth="1"/>
    <col min="10" max="10" width="20.625" customWidth="1"/>
    <col min="11" max="11" width="23.625" customWidth="1"/>
    <col min="12" max="12" width="8.625" customWidth="1"/>
    <col min="13" max="13" width="5.625" customWidth="1"/>
    <col min="14" max="15" width="12.625" customWidth="1"/>
    <col min="16" max="16" width="17.625" customWidth="1"/>
    <col min="17" max="17" width="2.625" customWidth="1"/>
    <col min="18" max="18" width="20.625" customWidth="1"/>
    <col min="19" max="19" width="23.625" customWidth="1"/>
    <col min="20" max="20" width="8.625" customWidth="1"/>
    <col min="21" max="21" width="5.625" customWidth="1"/>
    <col min="22" max="23" width="12.625" customWidth="1"/>
    <col min="24" max="24" width="17.625" customWidth="1"/>
    <col min="25" max="25" width="2.625" customWidth="1"/>
    <col min="26" max="26" width="20.625" customWidth="1"/>
    <col min="27" max="27" width="23.625" customWidth="1"/>
    <col min="28" max="28" width="8.625" customWidth="1"/>
    <col min="29" max="29" width="5.625" customWidth="1"/>
    <col min="30" max="31" width="12.625" customWidth="1"/>
    <col min="32" max="32" width="17.625" customWidth="1"/>
    <col min="33" max="33" width="2.625" customWidth="1"/>
    <col min="34" max="34" width="20.625" customWidth="1"/>
    <col min="35" max="35" width="23.625" customWidth="1"/>
    <col min="36" max="36" width="8.625" customWidth="1"/>
    <col min="37" max="37" width="5.625" customWidth="1"/>
    <col min="38" max="39" width="12.625" customWidth="1"/>
    <col min="40" max="40" width="17.625" customWidth="1"/>
    <col min="41" max="41" width="2.625" customWidth="1"/>
    <col min="42" max="42" width="20.625" customWidth="1"/>
    <col min="43" max="43" width="23.625" customWidth="1"/>
    <col min="44" max="44" width="8.625" customWidth="1"/>
    <col min="45" max="45" width="5.625" customWidth="1"/>
    <col min="46" max="47" width="12.625" customWidth="1"/>
    <col min="48" max="48" width="17.625" customWidth="1"/>
    <col min="49" max="49" width="2.625" customWidth="1"/>
    <col min="50" max="50" width="20.625" customWidth="1"/>
    <col min="51" max="51" width="23.625" customWidth="1"/>
    <col min="52" max="52" width="8.625" customWidth="1"/>
    <col min="53" max="53" width="5.625" customWidth="1"/>
    <col min="54" max="55" width="12.625" customWidth="1"/>
    <col min="56" max="56" width="17.625" customWidth="1"/>
    <col min="57" max="57" width="2.625" customWidth="1"/>
    <col min="58" max="58" width="20.625" customWidth="1"/>
    <col min="59" max="59" width="23.625" customWidth="1"/>
    <col min="60" max="60" width="8.625" customWidth="1"/>
    <col min="61" max="61" width="5.625" customWidth="1"/>
    <col min="62" max="63" width="12.625" customWidth="1"/>
    <col min="64" max="64" width="17.625" customWidth="1"/>
    <col min="65" max="65" width="2.625" customWidth="1"/>
    <col min="66" max="66" width="20.625" customWidth="1"/>
    <col min="67" max="67" width="23.625" customWidth="1"/>
    <col min="68" max="68" width="8.625" customWidth="1"/>
    <col min="69" max="69" width="5.625" customWidth="1"/>
    <col min="70" max="71" width="12.625" customWidth="1"/>
    <col min="72" max="72" width="17.625" customWidth="1"/>
    <col min="73" max="73" width="2.625" customWidth="1"/>
    <col min="74" max="74" width="20.625" customWidth="1"/>
    <col min="75" max="75" width="23.625" customWidth="1"/>
    <col min="76" max="76" width="8.625" customWidth="1"/>
    <col min="77" max="77" width="5.625" customWidth="1"/>
    <col min="78" max="79" width="12.625" customWidth="1"/>
    <col min="80" max="80" width="17.625" customWidth="1"/>
  </cols>
  <sheetData>
    <row r="1" spans="1:80">
      <c r="A1" s="298" t="s">
        <v>476</v>
      </c>
    </row>
    <row r="2" spans="1:80">
      <c r="B2" s="674" t="s">
        <v>239</v>
      </c>
      <c r="C2" s="675"/>
      <c r="D2" s="678">
        <v>1</v>
      </c>
      <c r="E2" s="678"/>
      <c r="F2" s="675" t="s">
        <v>10</v>
      </c>
      <c r="G2" s="675"/>
      <c r="H2" s="680" t="s">
        <v>9</v>
      </c>
      <c r="J2" s="674" t="s">
        <v>239</v>
      </c>
      <c r="K2" s="675"/>
      <c r="L2" s="678">
        <v>1</v>
      </c>
      <c r="M2" s="678"/>
      <c r="N2" s="675" t="s">
        <v>243</v>
      </c>
      <c r="O2" s="675"/>
      <c r="P2" s="680" t="s">
        <v>9</v>
      </c>
      <c r="R2" s="674" t="s">
        <v>239</v>
      </c>
      <c r="S2" s="675"/>
      <c r="T2" s="678">
        <v>2</v>
      </c>
      <c r="U2" s="678"/>
      <c r="V2" s="675" t="s">
        <v>249</v>
      </c>
      <c r="W2" s="675"/>
      <c r="X2" s="680" t="s">
        <v>9</v>
      </c>
      <c r="Z2" s="674" t="s">
        <v>239</v>
      </c>
      <c r="AA2" s="675"/>
      <c r="AB2" s="678">
        <v>3</v>
      </c>
      <c r="AC2" s="678"/>
      <c r="AD2" s="675" t="s">
        <v>258</v>
      </c>
      <c r="AE2" s="675"/>
      <c r="AF2" s="680" t="s">
        <v>9</v>
      </c>
      <c r="AH2" s="674" t="s">
        <v>239</v>
      </c>
      <c r="AI2" s="675"/>
      <c r="AJ2" s="678">
        <v>4</v>
      </c>
      <c r="AK2" s="678"/>
      <c r="AL2" s="675" t="s">
        <v>263</v>
      </c>
      <c r="AM2" s="675"/>
      <c r="AN2" s="680" t="s">
        <v>9</v>
      </c>
      <c r="AP2" s="674" t="s">
        <v>239</v>
      </c>
      <c r="AQ2" s="675"/>
      <c r="AR2" s="678">
        <v>5</v>
      </c>
      <c r="AS2" s="678"/>
      <c r="AT2" s="675" t="s">
        <v>23</v>
      </c>
      <c r="AU2" s="675"/>
      <c r="AV2" s="680" t="s">
        <v>9</v>
      </c>
      <c r="AX2" s="674" t="s">
        <v>239</v>
      </c>
      <c r="AY2" s="675"/>
      <c r="AZ2" s="678">
        <v>7</v>
      </c>
      <c r="BA2" s="678"/>
      <c r="BB2" s="675" t="s">
        <v>274</v>
      </c>
      <c r="BC2" s="675"/>
      <c r="BD2" s="680" t="s">
        <v>9</v>
      </c>
      <c r="BF2" s="674" t="s">
        <v>239</v>
      </c>
      <c r="BG2" s="675"/>
      <c r="BH2" s="678">
        <v>8</v>
      </c>
      <c r="BI2" s="678"/>
      <c r="BJ2" s="688" t="s">
        <v>275</v>
      </c>
      <c r="BK2" s="688"/>
      <c r="BL2" s="680" t="s">
        <v>9</v>
      </c>
      <c r="BN2" s="674" t="s">
        <v>239</v>
      </c>
      <c r="BO2" s="675"/>
      <c r="BP2" s="678">
        <v>6</v>
      </c>
      <c r="BQ2" s="678"/>
      <c r="BR2" s="688" t="s">
        <v>31</v>
      </c>
      <c r="BS2" s="688"/>
      <c r="BT2" s="680" t="s">
        <v>9</v>
      </c>
      <c r="BV2" s="674" t="s">
        <v>239</v>
      </c>
      <c r="BW2" s="675"/>
      <c r="BX2" s="678">
        <v>7</v>
      </c>
      <c r="BY2" s="678"/>
      <c r="BZ2" s="688" t="s">
        <v>42</v>
      </c>
      <c r="CA2" s="688"/>
      <c r="CB2" s="680" t="s">
        <v>9</v>
      </c>
    </row>
    <row r="3" spans="1:80" ht="18.75" customHeight="1">
      <c r="B3" s="676"/>
      <c r="C3" s="677"/>
      <c r="D3" s="679"/>
      <c r="E3" s="679"/>
      <c r="F3" s="677"/>
      <c r="G3" s="677"/>
      <c r="H3" s="681"/>
      <c r="J3" s="676"/>
      <c r="K3" s="677"/>
      <c r="L3" s="679"/>
      <c r="M3" s="679"/>
      <c r="N3" s="677"/>
      <c r="O3" s="677"/>
      <c r="P3" s="681"/>
      <c r="R3" s="676"/>
      <c r="S3" s="677"/>
      <c r="T3" s="679"/>
      <c r="U3" s="679"/>
      <c r="V3" s="677"/>
      <c r="W3" s="677"/>
      <c r="X3" s="681"/>
      <c r="Z3" s="676"/>
      <c r="AA3" s="677"/>
      <c r="AB3" s="679"/>
      <c r="AC3" s="679"/>
      <c r="AD3" s="677"/>
      <c r="AE3" s="677"/>
      <c r="AF3" s="681"/>
      <c r="AH3" s="676"/>
      <c r="AI3" s="677"/>
      <c r="AJ3" s="679"/>
      <c r="AK3" s="679"/>
      <c r="AL3" s="677"/>
      <c r="AM3" s="677"/>
      <c r="AN3" s="681"/>
      <c r="AP3" s="676"/>
      <c r="AQ3" s="677"/>
      <c r="AR3" s="679"/>
      <c r="AS3" s="679"/>
      <c r="AT3" s="677"/>
      <c r="AU3" s="677"/>
      <c r="AV3" s="681"/>
      <c r="AX3" s="676"/>
      <c r="AY3" s="677"/>
      <c r="AZ3" s="679"/>
      <c r="BA3" s="679"/>
      <c r="BB3" s="677"/>
      <c r="BC3" s="677"/>
      <c r="BD3" s="681"/>
      <c r="BF3" s="676"/>
      <c r="BG3" s="677"/>
      <c r="BH3" s="679"/>
      <c r="BI3" s="679"/>
      <c r="BJ3" s="689"/>
      <c r="BK3" s="689"/>
      <c r="BL3" s="681"/>
      <c r="BN3" s="676"/>
      <c r="BO3" s="677"/>
      <c r="BP3" s="679"/>
      <c r="BQ3" s="679"/>
      <c r="BR3" s="689"/>
      <c r="BS3" s="689"/>
      <c r="BT3" s="681"/>
      <c r="BV3" s="676"/>
      <c r="BW3" s="677"/>
      <c r="BX3" s="679"/>
      <c r="BY3" s="679"/>
      <c r="BZ3" s="689"/>
      <c r="CA3" s="689"/>
      <c r="CB3" s="681"/>
    </row>
    <row r="4" spans="1:80" ht="19.5" customHeight="1" thickBot="1">
      <c r="B4" s="24" t="s">
        <v>5</v>
      </c>
      <c r="C4" s="25" t="s">
        <v>1</v>
      </c>
      <c r="D4" s="25" t="s">
        <v>4</v>
      </c>
      <c r="E4" s="25" t="s">
        <v>3</v>
      </c>
      <c r="F4" s="25" t="s">
        <v>6</v>
      </c>
      <c r="G4" s="25" t="s">
        <v>7</v>
      </c>
      <c r="H4" s="25" t="s">
        <v>8</v>
      </c>
      <c r="J4" s="24" t="s">
        <v>5</v>
      </c>
      <c r="K4" s="25" t="s">
        <v>1</v>
      </c>
      <c r="L4" s="25" t="s">
        <v>4</v>
      </c>
      <c r="M4" s="25" t="s">
        <v>3</v>
      </c>
      <c r="N4" s="25" t="s">
        <v>6</v>
      </c>
      <c r="O4" s="25" t="s">
        <v>7</v>
      </c>
      <c r="P4" s="25" t="s">
        <v>8</v>
      </c>
      <c r="R4" s="24" t="s">
        <v>5</v>
      </c>
      <c r="S4" s="25" t="s">
        <v>1</v>
      </c>
      <c r="T4" s="25" t="s">
        <v>4</v>
      </c>
      <c r="U4" s="25" t="s">
        <v>3</v>
      </c>
      <c r="V4" s="25" t="s">
        <v>6</v>
      </c>
      <c r="W4" s="25" t="s">
        <v>7</v>
      </c>
      <c r="X4" s="25" t="s">
        <v>8</v>
      </c>
      <c r="Z4" s="24" t="s">
        <v>5</v>
      </c>
      <c r="AA4" s="25" t="s">
        <v>1</v>
      </c>
      <c r="AB4" s="25" t="s">
        <v>4</v>
      </c>
      <c r="AC4" s="25" t="s">
        <v>3</v>
      </c>
      <c r="AD4" s="25" t="s">
        <v>6</v>
      </c>
      <c r="AE4" s="25" t="s">
        <v>7</v>
      </c>
      <c r="AF4" s="25" t="s">
        <v>8</v>
      </c>
      <c r="AH4" s="24" t="s">
        <v>5</v>
      </c>
      <c r="AI4" s="25" t="s">
        <v>1</v>
      </c>
      <c r="AJ4" s="25" t="s">
        <v>4</v>
      </c>
      <c r="AK4" s="25" t="s">
        <v>3</v>
      </c>
      <c r="AL4" s="25" t="s">
        <v>6</v>
      </c>
      <c r="AM4" s="25" t="s">
        <v>7</v>
      </c>
      <c r="AN4" s="25" t="s">
        <v>8</v>
      </c>
      <c r="AP4" s="24" t="s">
        <v>5</v>
      </c>
      <c r="AQ4" s="25" t="s">
        <v>1</v>
      </c>
      <c r="AR4" s="25" t="s">
        <v>4</v>
      </c>
      <c r="AS4" s="25" t="s">
        <v>3</v>
      </c>
      <c r="AT4" s="25" t="s">
        <v>6</v>
      </c>
      <c r="AU4" s="25" t="s">
        <v>7</v>
      </c>
      <c r="AV4" s="25" t="s">
        <v>8</v>
      </c>
      <c r="AX4" s="24" t="s">
        <v>5</v>
      </c>
      <c r="AY4" s="25" t="s">
        <v>1</v>
      </c>
      <c r="AZ4" s="25" t="s">
        <v>4</v>
      </c>
      <c r="BA4" s="25" t="s">
        <v>3</v>
      </c>
      <c r="BB4" s="25" t="s">
        <v>6</v>
      </c>
      <c r="BC4" s="25" t="s">
        <v>7</v>
      </c>
      <c r="BD4" s="25" t="s">
        <v>8</v>
      </c>
      <c r="BF4" s="24" t="s">
        <v>5</v>
      </c>
      <c r="BG4" s="25" t="s">
        <v>1</v>
      </c>
      <c r="BH4" s="25" t="s">
        <v>4</v>
      </c>
      <c r="BI4" s="25" t="s">
        <v>3</v>
      </c>
      <c r="BJ4" s="25" t="s">
        <v>6</v>
      </c>
      <c r="BK4" s="25" t="s">
        <v>7</v>
      </c>
      <c r="BL4" s="25" t="s">
        <v>8</v>
      </c>
      <c r="BN4" s="24" t="s">
        <v>5</v>
      </c>
      <c r="BO4" s="25" t="s">
        <v>1</v>
      </c>
      <c r="BP4" s="25" t="s">
        <v>4</v>
      </c>
      <c r="BQ4" s="25" t="s">
        <v>3</v>
      </c>
      <c r="BR4" s="25" t="s">
        <v>6</v>
      </c>
      <c r="BS4" s="25" t="s">
        <v>7</v>
      </c>
      <c r="BT4" s="25" t="s">
        <v>8</v>
      </c>
      <c r="BV4" s="24" t="s">
        <v>5</v>
      </c>
      <c r="BW4" s="25" t="s">
        <v>1</v>
      </c>
      <c r="BX4" s="25" t="s">
        <v>4</v>
      </c>
      <c r="BY4" s="25" t="s">
        <v>3</v>
      </c>
      <c r="BZ4" s="25" t="s">
        <v>6</v>
      </c>
      <c r="CA4" s="25" t="s">
        <v>7</v>
      </c>
      <c r="CB4" s="25" t="s">
        <v>8</v>
      </c>
    </row>
    <row r="5" spans="1:80" ht="19.5" customHeight="1" thickTop="1">
      <c r="B5" s="682"/>
      <c r="C5" s="683"/>
      <c r="D5" s="37"/>
      <c r="E5" s="30"/>
      <c r="F5" s="23"/>
      <c r="G5" s="23"/>
      <c r="H5" s="162"/>
      <c r="J5" s="682" t="s">
        <v>244</v>
      </c>
      <c r="K5" s="683" t="s">
        <v>876</v>
      </c>
      <c r="L5" s="37"/>
      <c r="M5" s="30" t="s">
        <v>17</v>
      </c>
      <c r="N5" s="23">
        <f>資材単価!I133</f>
        <v>309.5</v>
      </c>
      <c r="O5" s="23">
        <f>+IF(N5&gt;0,INT(L5*N5),0)</f>
        <v>0</v>
      </c>
      <c r="P5" s="162" t="s">
        <v>646</v>
      </c>
      <c r="R5" s="682" t="s">
        <v>250</v>
      </c>
      <c r="S5" s="683" t="s">
        <v>251</v>
      </c>
      <c r="T5" s="37"/>
      <c r="U5" s="30" t="s">
        <v>252</v>
      </c>
      <c r="V5" s="23">
        <v>313</v>
      </c>
      <c r="W5" s="23">
        <f>+IF(V5&gt;0,INT(T5*V5),0)</f>
        <v>0</v>
      </c>
      <c r="X5" s="162" t="s">
        <v>646</v>
      </c>
      <c r="Z5" s="682" t="s">
        <v>259</v>
      </c>
      <c r="AA5" s="683" t="s">
        <v>261</v>
      </c>
      <c r="AB5" s="37"/>
      <c r="AC5" s="30" t="s">
        <v>22</v>
      </c>
      <c r="AD5" s="23">
        <v>1315</v>
      </c>
      <c r="AE5" s="23">
        <f>+IF(AD5&gt;0,INT(AB5*AD5),0)</f>
        <v>0</v>
      </c>
      <c r="AF5" s="162" t="s">
        <v>646</v>
      </c>
      <c r="AH5" s="661" t="s">
        <v>780</v>
      </c>
      <c r="AI5" s="668" t="s">
        <v>781</v>
      </c>
      <c r="AJ5" s="39"/>
      <c r="AK5" s="32" t="s">
        <v>20</v>
      </c>
      <c r="AL5" s="11">
        <v>564</v>
      </c>
      <c r="AM5" s="23">
        <f t="shared" ref="AM5:AM6" si="0">+IF(AL5&gt;0,INT(AJ5*AL5),0)</f>
        <v>0</v>
      </c>
      <c r="AN5" s="164" t="s">
        <v>836</v>
      </c>
      <c r="AP5" s="682" t="s">
        <v>266</v>
      </c>
      <c r="AQ5" s="683"/>
      <c r="AR5" s="40">
        <f>+'集計(電気)単独'!D47</f>
        <v>0</v>
      </c>
      <c r="AS5" s="30" t="s">
        <v>27</v>
      </c>
      <c r="AT5" s="23">
        <v>20000</v>
      </c>
      <c r="AU5" s="23">
        <f>+IF(AT5&gt;0,INT(AR5*AT5),0)</f>
        <v>0</v>
      </c>
      <c r="AV5" s="162" t="s">
        <v>268</v>
      </c>
      <c r="AX5" s="682" t="s">
        <v>270</v>
      </c>
      <c r="AY5" s="683"/>
      <c r="AZ5" s="40">
        <f>+'集計(電気)単独'!E47</f>
        <v>0</v>
      </c>
      <c r="BA5" s="30" t="s">
        <v>27</v>
      </c>
      <c r="BB5" s="23">
        <v>34500</v>
      </c>
      <c r="BC5" s="23">
        <f>+IF(BB5&gt;0,INT(AZ5*BB5),0)</f>
        <v>0</v>
      </c>
      <c r="BD5" s="162" t="s">
        <v>271</v>
      </c>
      <c r="BF5" s="682" t="s">
        <v>276</v>
      </c>
      <c r="BG5" s="683"/>
      <c r="BH5" s="40">
        <f>+'集計(電気)単独'!F47</f>
        <v>0</v>
      </c>
      <c r="BI5" s="30" t="s">
        <v>27</v>
      </c>
      <c r="BJ5" s="23">
        <v>34800</v>
      </c>
      <c r="BK5" s="23">
        <f>+IF(BJ5&gt;0,INT(BH5*BJ5),0)</f>
        <v>0</v>
      </c>
      <c r="BL5" s="162" t="s">
        <v>277</v>
      </c>
      <c r="BN5" s="682" t="s">
        <v>652</v>
      </c>
      <c r="BO5" s="683" t="s">
        <v>650</v>
      </c>
      <c r="BP5" s="37"/>
      <c r="BQ5" s="30" t="s">
        <v>41</v>
      </c>
      <c r="BR5" s="23">
        <v>3001</v>
      </c>
      <c r="BS5" s="23">
        <f>+IF(BR5&gt;0,INT(BP5*BR5),0)</f>
        <v>0</v>
      </c>
      <c r="BT5" s="162" t="s">
        <v>654</v>
      </c>
      <c r="BV5" s="682" t="s">
        <v>43</v>
      </c>
      <c r="BW5" s="683"/>
      <c r="BX5" s="37"/>
      <c r="BY5" s="30" t="s">
        <v>27</v>
      </c>
      <c r="BZ5" s="23">
        <v>14400</v>
      </c>
      <c r="CA5" s="23">
        <f>+IF(BZ5&gt;0,INT(BX5*BZ5),0)</f>
        <v>0</v>
      </c>
      <c r="CB5" s="162"/>
    </row>
    <row r="6" spans="1:80" ht="19.5" customHeight="1">
      <c r="B6" s="662"/>
      <c r="C6" s="664"/>
      <c r="D6" s="38"/>
      <c r="E6" s="31"/>
      <c r="F6" s="13"/>
      <c r="G6" s="35"/>
      <c r="H6" s="163"/>
      <c r="J6" s="662"/>
      <c r="K6" s="664"/>
      <c r="L6" s="38"/>
      <c r="M6" s="31"/>
      <c r="N6" s="13"/>
      <c r="O6" s="35">
        <f>+IF(N6&gt;0,INT(L6*N6),0)</f>
        <v>0</v>
      </c>
      <c r="P6" s="163"/>
      <c r="R6" s="662"/>
      <c r="S6" s="664"/>
      <c r="T6" s="38"/>
      <c r="U6" s="31"/>
      <c r="V6" s="13"/>
      <c r="W6" s="35">
        <f>+IF(V6&gt;0,INT(T6*V6),0)</f>
        <v>0</v>
      </c>
      <c r="X6" s="163"/>
      <c r="Z6" s="662"/>
      <c r="AA6" s="664"/>
      <c r="AB6" s="38"/>
      <c r="AC6" s="31"/>
      <c r="AD6" s="13"/>
      <c r="AE6" s="35">
        <f>+IF(AD6&gt;0,INT(AB6*AD6),0)</f>
        <v>0</v>
      </c>
      <c r="AF6" s="163"/>
      <c r="AH6" s="662"/>
      <c r="AI6" s="664"/>
      <c r="AJ6" s="38"/>
      <c r="AK6" s="31"/>
      <c r="AL6" s="13"/>
      <c r="AM6" s="35">
        <f t="shared" si="0"/>
        <v>0</v>
      </c>
      <c r="AN6" s="163"/>
      <c r="AP6" s="662"/>
      <c r="AQ6" s="664"/>
      <c r="AR6" s="41">
        <f>+'集計(電気)単独'!D48</f>
        <v>0</v>
      </c>
      <c r="AS6" s="31"/>
      <c r="AT6" s="13"/>
      <c r="AU6" s="35">
        <f>+IF(AT6&gt;0,INT(AR6*AT6),0)</f>
        <v>0</v>
      </c>
      <c r="AV6" s="163"/>
      <c r="AX6" s="662"/>
      <c r="AY6" s="664"/>
      <c r="AZ6" s="41">
        <f>+'集計(電気)単独'!E48</f>
        <v>0</v>
      </c>
      <c r="BA6" s="31"/>
      <c r="BB6" s="13"/>
      <c r="BC6" s="35">
        <f>+IF(BB6&gt;0,INT(AZ6*BB6),0)</f>
        <v>0</v>
      </c>
      <c r="BD6" s="163" t="s">
        <v>272</v>
      </c>
      <c r="BF6" s="662"/>
      <c r="BG6" s="664"/>
      <c r="BH6" s="41">
        <f>+'集計(電気)単独'!F48</f>
        <v>0</v>
      </c>
      <c r="BI6" s="31"/>
      <c r="BJ6" s="13"/>
      <c r="BK6" s="35">
        <f>+IF(BJ6&gt;0,INT(BH6*BJ6),0)</f>
        <v>0</v>
      </c>
      <c r="BL6" s="163" t="s">
        <v>278</v>
      </c>
      <c r="BN6" s="662"/>
      <c r="BO6" s="664"/>
      <c r="BP6" s="38"/>
      <c r="BQ6" s="31"/>
      <c r="BR6" s="13"/>
      <c r="BS6" s="35">
        <f>+IF(BR6&gt;0,INT(BP6*BR6),0)</f>
        <v>0</v>
      </c>
      <c r="BT6" s="163"/>
      <c r="BV6" s="662"/>
      <c r="BW6" s="664"/>
      <c r="BX6" s="38"/>
      <c r="BY6" s="31"/>
      <c r="BZ6" s="13"/>
      <c r="CA6" s="35">
        <f>+IF(BZ6&gt;0,INT(BX6*BZ6),0)</f>
        <v>0</v>
      </c>
      <c r="CB6" s="163"/>
    </row>
    <row r="7" spans="1:80" ht="18.75" customHeight="1">
      <c r="B7" s="661"/>
      <c r="C7" s="668"/>
      <c r="D7" s="39"/>
      <c r="E7" s="32"/>
      <c r="F7" s="11"/>
      <c r="G7" s="23"/>
      <c r="H7" s="164"/>
      <c r="J7" s="661" t="s">
        <v>244</v>
      </c>
      <c r="K7" s="668" t="s">
        <v>245</v>
      </c>
      <c r="L7" s="37"/>
      <c r="M7" s="32" t="s">
        <v>17</v>
      </c>
      <c r="N7" s="23">
        <f>資材単価!I130</f>
        <v>221.5</v>
      </c>
      <c r="O7" s="23">
        <f>+IF(N7&gt;0,INT(L7*N7),0)</f>
        <v>0</v>
      </c>
      <c r="P7" s="164" t="s">
        <v>646</v>
      </c>
      <c r="R7" s="661" t="s">
        <v>253</v>
      </c>
      <c r="S7" s="668" t="s">
        <v>251</v>
      </c>
      <c r="T7" s="37"/>
      <c r="U7" s="32" t="s">
        <v>20</v>
      </c>
      <c r="V7" s="11">
        <v>470</v>
      </c>
      <c r="W7" s="23">
        <f>+IF(V7&gt;0,INT(T7*V7),0)</f>
        <v>0</v>
      </c>
      <c r="X7" s="164" t="s">
        <v>646</v>
      </c>
      <c r="Z7" s="661" t="s">
        <v>260</v>
      </c>
      <c r="AA7" s="668" t="s">
        <v>262</v>
      </c>
      <c r="AB7" s="39"/>
      <c r="AC7" s="32" t="s">
        <v>22</v>
      </c>
      <c r="AD7" s="11">
        <v>645</v>
      </c>
      <c r="AE7" s="23">
        <f>+IF(AD7&gt;0,INT(AB7*AD7),0)</f>
        <v>0</v>
      </c>
      <c r="AF7" s="162" t="s">
        <v>646</v>
      </c>
      <c r="AH7" s="661"/>
      <c r="AI7" s="668"/>
      <c r="AJ7" s="39"/>
      <c r="AK7" s="32"/>
      <c r="AL7" s="11"/>
      <c r="AM7" s="23"/>
      <c r="AN7" s="164"/>
      <c r="AP7" s="661" t="s">
        <v>267</v>
      </c>
      <c r="AQ7" s="668"/>
      <c r="AR7" s="42">
        <f>+'集計(電気)単独'!C47</f>
        <v>0</v>
      </c>
      <c r="AS7" s="32" t="s">
        <v>27</v>
      </c>
      <c r="AT7" s="11">
        <v>24000</v>
      </c>
      <c r="AU7" s="23">
        <f>+IF(AT7&gt;0,INT(AR7*AT7),0)</f>
        <v>0</v>
      </c>
      <c r="AV7" s="162" t="s">
        <v>268</v>
      </c>
      <c r="AX7" s="661"/>
      <c r="AY7" s="668"/>
      <c r="AZ7" s="42"/>
      <c r="BA7" s="32"/>
      <c r="BB7" s="11"/>
      <c r="BC7" s="23">
        <f>+IF(BB7&gt;0,INT(AZ7*BB7),0)</f>
        <v>0</v>
      </c>
      <c r="BD7" s="162"/>
      <c r="BF7" s="661"/>
      <c r="BG7" s="668"/>
      <c r="BH7" s="42"/>
      <c r="BI7" s="32"/>
      <c r="BJ7" s="11"/>
      <c r="BK7" s="23">
        <f>+IF(BJ7&gt;0,INT(BH7*BJ7),0)</f>
        <v>0</v>
      </c>
      <c r="BL7" s="162"/>
      <c r="BN7" s="667" t="s">
        <v>651</v>
      </c>
      <c r="BO7" s="668" t="s">
        <v>671</v>
      </c>
      <c r="BP7" s="39"/>
      <c r="BQ7" s="32" t="s">
        <v>41</v>
      </c>
      <c r="BR7" s="11">
        <v>6598</v>
      </c>
      <c r="BS7" s="23">
        <f>+IF(BR7&gt;0,INT(BP7*BR7),0)</f>
        <v>0</v>
      </c>
      <c r="BT7" s="162" t="s">
        <v>653</v>
      </c>
      <c r="BV7" s="661"/>
      <c r="BW7" s="668"/>
      <c r="BX7" s="39"/>
      <c r="BY7" s="32"/>
      <c r="BZ7" s="11"/>
      <c r="CA7" s="23">
        <f>+IF(BZ7&gt;0,INT(BX7*BZ7),0)</f>
        <v>0</v>
      </c>
      <c r="CB7" s="162"/>
    </row>
    <row r="8" spans="1:80">
      <c r="B8" s="662"/>
      <c r="C8" s="664"/>
      <c r="D8" s="38"/>
      <c r="E8" s="31"/>
      <c r="F8" s="13"/>
      <c r="G8" s="35"/>
      <c r="H8" s="163"/>
      <c r="J8" s="662"/>
      <c r="K8" s="664"/>
      <c r="L8" s="38"/>
      <c r="M8" s="31"/>
      <c r="N8" s="13"/>
      <c r="O8" s="35">
        <f>+IF(N8&gt;0,INT(L8*N8),0)</f>
        <v>0</v>
      </c>
      <c r="P8" s="163"/>
      <c r="R8" s="662"/>
      <c r="S8" s="664"/>
      <c r="T8" s="38"/>
      <c r="U8" s="31"/>
      <c r="V8" s="13"/>
      <c r="W8" s="35">
        <f>+IF(V8&gt;0,INT(T8*V8),0)</f>
        <v>0</v>
      </c>
      <c r="X8" s="163"/>
      <c r="Z8" s="662"/>
      <c r="AA8" s="664"/>
      <c r="AB8" s="38"/>
      <c r="AC8" s="31"/>
      <c r="AD8" s="13"/>
      <c r="AE8" s="35">
        <f>+IF(AD8&gt;0,INT(AB8*AD8),0)</f>
        <v>0</v>
      </c>
      <c r="AF8" s="163"/>
      <c r="AH8" s="662"/>
      <c r="AI8" s="664"/>
      <c r="AJ8" s="38"/>
      <c r="AK8" s="31"/>
      <c r="AL8" s="13"/>
      <c r="AM8" s="35"/>
      <c r="AN8" s="163"/>
      <c r="AP8" s="662"/>
      <c r="AQ8" s="664"/>
      <c r="AR8" s="41">
        <f>+'集計(電気)単独'!C48</f>
        <v>0</v>
      </c>
      <c r="AS8" s="31"/>
      <c r="AT8" s="13"/>
      <c r="AU8" s="35">
        <f>+IF(AT8&gt;0,INT(AR8*AT8),0)</f>
        <v>0</v>
      </c>
      <c r="AV8" s="163"/>
      <c r="AX8" s="662"/>
      <c r="AY8" s="664"/>
      <c r="AZ8" s="41"/>
      <c r="BA8" s="31"/>
      <c r="BB8" s="13"/>
      <c r="BC8" s="35">
        <f>+IF(BB8&gt;0,INT(AZ8*BB8),0)</f>
        <v>0</v>
      </c>
      <c r="BD8" s="163"/>
      <c r="BF8" s="662"/>
      <c r="BG8" s="664"/>
      <c r="BH8" s="41"/>
      <c r="BI8" s="31"/>
      <c r="BJ8" s="13"/>
      <c r="BK8" s="35">
        <f>+IF(BJ8&gt;0,INT(BH8*BJ8),0)</f>
        <v>0</v>
      </c>
      <c r="BL8" s="163"/>
      <c r="BN8" s="662"/>
      <c r="BO8" s="664"/>
      <c r="BP8" s="38"/>
      <c r="BQ8" s="31"/>
      <c r="BR8" s="13"/>
      <c r="BS8" s="35">
        <f>+IF(BR8&gt;0,INT(BP8*BR8),0)</f>
        <v>0</v>
      </c>
      <c r="BT8" s="163"/>
      <c r="BV8" s="662"/>
      <c r="BW8" s="664"/>
      <c r="BX8" s="38"/>
      <c r="BY8" s="31"/>
      <c r="BZ8" s="13"/>
      <c r="CA8" s="35">
        <f>+IF(BZ8&gt;0,INT(BX8*BZ8),0)</f>
        <v>0</v>
      </c>
      <c r="CB8" s="163"/>
    </row>
    <row r="9" spans="1:80" ht="18.75" customHeight="1">
      <c r="B9" s="661"/>
      <c r="C9" s="668"/>
      <c r="D9" s="39"/>
      <c r="E9" s="32"/>
      <c r="F9" s="11"/>
      <c r="G9" s="23"/>
      <c r="H9" s="164"/>
      <c r="J9" s="661" t="s">
        <v>246</v>
      </c>
      <c r="K9" s="668" t="s">
        <v>247</v>
      </c>
      <c r="L9" s="37"/>
      <c r="M9" s="32" t="s">
        <v>17</v>
      </c>
      <c r="N9" s="11">
        <v>354</v>
      </c>
      <c r="O9" s="23">
        <f t="shared" ref="O9:O10" si="1">+IF(N9&gt;0,INT(L9*N9),0)</f>
        <v>0</v>
      </c>
      <c r="P9" s="164" t="s">
        <v>646</v>
      </c>
      <c r="R9" s="667" t="s">
        <v>250</v>
      </c>
      <c r="S9" s="668" t="s">
        <v>255</v>
      </c>
      <c r="T9" s="37"/>
      <c r="U9" s="32" t="s">
        <v>17</v>
      </c>
      <c r="V9" s="11">
        <f>資材単価!I196</f>
        <v>300.5</v>
      </c>
      <c r="W9" s="23">
        <f t="shared" ref="W9:W12" si="2">+IF(V9&gt;0,INT(T9*V9),0)</f>
        <v>0</v>
      </c>
      <c r="X9" s="164" t="s">
        <v>646</v>
      </c>
      <c r="Z9" s="661"/>
      <c r="AA9" s="668"/>
      <c r="AB9" s="39"/>
      <c r="AC9" s="32"/>
      <c r="AD9" s="11"/>
      <c r="AE9" s="23"/>
      <c r="AF9" s="162"/>
      <c r="AH9" s="661"/>
      <c r="AI9" s="668"/>
      <c r="AJ9" s="39"/>
      <c r="AK9" s="32"/>
      <c r="AL9" s="11"/>
      <c r="AM9" s="23"/>
      <c r="AN9" s="164"/>
      <c r="AP9" s="661"/>
      <c r="AQ9" s="668"/>
      <c r="AR9" s="42"/>
      <c r="AS9" s="32"/>
      <c r="AT9" s="11"/>
      <c r="AU9" s="23">
        <f t="shared" ref="AU9:AU46" si="3">+IF(AT9&gt;0,INT(AR9*AT9),0)</f>
        <v>0</v>
      </c>
      <c r="AV9" s="162"/>
      <c r="AX9" s="661"/>
      <c r="AY9" s="668"/>
      <c r="AZ9" s="42"/>
      <c r="BA9" s="32"/>
      <c r="BB9" s="11"/>
      <c r="BC9" s="23">
        <f t="shared" ref="BC9:BC46" si="4">+IF(BB9&gt;0,INT(AZ9*BB9),0)</f>
        <v>0</v>
      </c>
      <c r="BD9" s="162"/>
      <c r="BF9" s="661"/>
      <c r="BG9" s="668"/>
      <c r="BH9" s="42"/>
      <c r="BI9" s="32"/>
      <c r="BJ9" s="11"/>
      <c r="BK9" s="23">
        <f t="shared" ref="BK9:BK46" si="5">+IF(BJ9&gt;0,INT(BH9*BJ9),0)</f>
        <v>0</v>
      </c>
      <c r="BL9" s="162"/>
      <c r="BN9" s="661" t="s">
        <v>823</v>
      </c>
      <c r="BO9" s="663" t="s">
        <v>826</v>
      </c>
      <c r="BP9" s="39"/>
      <c r="BQ9" s="32" t="s">
        <v>828</v>
      </c>
      <c r="BR9" s="11">
        <v>1164</v>
      </c>
      <c r="BS9" s="23">
        <f>+IF(BR9&gt;0,INT(BP9*BR9),0)</f>
        <v>0</v>
      </c>
      <c r="BT9" s="162" t="s">
        <v>949</v>
      </c>
      <c r="BV9" s="661"/>
      <c r="BW9" s="668"/>
      <c r="BX9" s="39"/>
      <c r="BY9" s="32"/>
      <c r="BZ9" s="11"/>
      <c r="CA9" s="23">
        <f t="shared" ref="CA9:CA46" si="6">+IF(BZ9&gt;0,INT(BX9*BZ9),0)</f>
        <v>0</v>
      </c>
      <c r="CB9" s="43"/>
    </row>
    <row r="10" spans="1:80">
      <c r="B10" s="662"/>
      <c r="C10" s="664"/>
      <c r="D10" s="38"/>
      <c r="E10" s="31"/>
      <c r="F10" s="13"/>
      <c r="G10" s="35"/>
      <c r="H10" s="163"/>
      <c r="J10" s="662"/>
      <c r="K10" s="664"/>
      <c r="L10" s="38"/>
      <c r="M10" s="31"/>
      <c r="N10" s="13"/>
      <c r="O10" s="35">
        <f t="shared" si="1"/>
        <v>0</v>
      </c>
      <c r="P10" s="163"/>
      <c r="R10" s="662"/>
      <c r="S10" s="664"/>
      <c r="T10" s="38"/>
      <c r="U10" s="31"/>
      <c r="V10" s="13"/>
      <c r="W10" s="35">
        <f t="shared" si="2"/>
        <v>0</v>
      </c>
      <c r="X10" s="163"/>
      <c r="Z10" s="662"/>
      <c r="AA10" s="664"/>
      <c r="AB10" s="38"/>
      <c r="AC10" s="31"/>
      <c r="AD10" s="13"/>
      <c r="AE10" s="35"/>
      <c r="AF10" s="163"/>
      <c r="AH10" s="662"/>
      <c r="AI10" s="664"/>
      <c r="AJ10" s="38"/>
      <c r="AK10" s="31"/>
      <c r="AL10" s="13"/>
      <c r="AM10" s="35"/>
      <c r="AN10" s="163"/>
      <c r="AP10" s="662"/>
      <c r="AQ10" s="664"/>
      <c r="AR10" s="41"/>
      <c r="AS10" s="31"/>
      <c r="AT10" s="13"/>
      <c r="AU10" s="35">
        <f t="shared" si="3"/>
        <v>0</v>
      </c>
      <c r="AV10" s="163"/>
      <c r="AX10" s="662"/>
      <c r="AY10" s="664"/>
      <c r="AZ10" s="41"/>
      <c r="BA10" s="31"/>
      <c r="BB10" s="13"/>
      <c r="BC10" s="35">
        <f t="shared" si="4"/>
        <v>0</v>
      </c>
      <c r="BD10" s="163"/>
      <c r="BF10" s="662"/>
      <c r="BG10" s="664"/>
      <c r="BH10" s="41"/>
      <c r="BI10" s="31"/>
      <c r="BJ10" s="13"/>
      <c r="BK10" s="35">
        <f t="shared" si="5"/>
        <v>0</v>
      </c>
      <c r="BL10" s="163"/>
      <c r="BN10" s="662"/>
      <c r="BO10" s="664"/>
      <c r="BP10" s="38"/>
      <c r="BQ10" s="31"/>
      <c r="BR10" s="13"/>
      <c r="BS10" s="35"/>
      <c r="BT10" s="163"/>
      <c r="BV10" s="662"/>
      <c r="BW10" s="664"/>
      <c r="BX10" s="38"/>
      <c r="BY10" s="31"/>
      <c r="BZ10" s="13"/>
      <c r="CA10" s="35">
        <f t="shared" si="6"/>
        <v>0</v>
      </c>
      <c r="CB10" s="44"/>
    </row>
    <row r="11" spans="1:80" ht="18.75" customHeight="1">
      <c r="B11" s="667"/>
      <c r="C11" s="668"/>
      <c r="D11" s="39"/>
      <c r="E11" s="32"/>
      <c r="F11" s="11"/>
      <c r="G11" s="23"/>
      <c r="H11" s="164"/>
      <c r="J11" s="667"/>
      <c r="K11" s="668"/>
      <c r="L11" s="39"/>
      <c r="M11" s="32"/>
      <c r="N11" s="11"/>
      <c r="O11" s="23">
        <f t="shared" ref="O11:O46" si="7">+IF(N11&gt;0,INT(L11*N11),0)</f>
        <v>0</v>
      </c>
      <c r="P11" s="164"/>
      <c r="R11" s="667" t="s">
        <v>250</v>
      </c>
      <c r="S11" s="668" t="s">
        <v>931</v>
      </c>
      <c r="T11" s="37"/>
      <c r="U11" s="32" t="s">
        <v>17</v>
      </c>
      <c r="V11" s="11">
        <f>資材単価!I184</f>
        <v>512</v>
      </c>
      <c r="W11" s="23">
        <f t="shared" si="2"/>
        <v>0</v>
      </c>
      <c r="X11" s="164" t="s">
        <v>646</v>
      </c>
      <c r="Z11" s="667"/>
      <c r="AA11" s="668"/>
      <c r="AB11" s="39"/>
      <c r="AC11" s="32"/>
      <c r="AD11" s="11"/>
      <c r="AE11" s="23">
        <f t="shared" ref="AE11:AE46" si="8">+IF(AD11&gt;0,INT(AB11*AD11),0)</f>
        <v>0</v>
      </c>
      <c r="AF11" s="164"/>
      <c r="AH11" s="661"/>
      <c r="AI11" s="668"/>
      <c r="AJ11" s="39"/>
      <c r="AK11" s="32"/>
      <c r="AL11" s="11"/>
      <c r="AM11" s="23"/>
      <c r="AN11" s="164"/>
      <c r="AP11" s="667"/>
      <c r="AQ11" s="668"/>
      <c r="AR11" s="42"/>
      <c r="AS11" s="32"/>
      <c r="AT11" s="11"/>
      <c r="AU11" s="23">
        <f t="shared" si="3"/>
        <v>0</v>
      </c>
      <c r="AV11" s="164"/>
      <c r="AX11" s="667"/>
      <c r="AY11" s="668"/>
      <c r="AZ11" s="42"/>
      <c r="BA11" s="32"/>
      <c r="BB11" s="11"/>
      <c r="BC11" s="23">
        <f t="shared" si="4"/>
        <v>0</v>
      </c>
      <c r="BD11" s="164"/>
      <c r="BF11" s="667"/>
      <c r="BG11" s="668"/>
      <c r="BH11" s="42"/>
      <c r="BI11" s="32"/>
      <c r="BJ11" s="11"/>
      <c r="BK11" s="23">
        <f t="shared" si="5"/>
        <v>0</v>
      </c>
      <c r="BL11" s="164"/>
      <c r="BN11" s="667" t="s">
        <v>655</v>
      </c>
      <c r="BO11" s="668" t="s">
        <v>672</v>
      </c>
      <c r="BP11" s="39"/>
      <c r="BQ11" s="32" t="s">
        <v>41</v>
      </c>
      <c r="BR11" s="11">
        <v>5730</v>
      </c>
      <c r="BS11" s="23">
        <f t="shared" ref="BS11:BS46" si="9">+IF(BR11&gt;0,INT(BP11*BR11),0)</f>
        <v>0</v>
      </c>
      <c r="BT11" s="164" t="s">
        <v>849</v>
      </c>
      <c r="BV11" s="667"/>
      <c r="BW11" s="668"/>
      <c r="BX11" s="39"/>
      <c r="BY11" s="32"/>
      <c r="BZ11" s="11"/>
      <c r="CA11" s="23">
        <f t="shared" si="6"/>
        <v>0</v>
      </c>
      <c r="CB11" s="45"/>
    </row>
    <row r="12" spans="1:80">
      <c r="B12" s="662"/>
      <c r="C12" s="664"/>
      <c r="D12" s="38"/>
      <c r="E12" s="31"/>
      <c r="F12" s="13"/>
      <c r="G12" s="35"/>
      <c r="H12" s="163"/>
      <c r="J12" s="662"/>
      <c r="K12" s="664"/>
      <c r="L12" s="38"/>
      <c r="M12" s="31"/>
      <c r="N12" s="13"/>
      <c r="O12" s="35">
        <f t="shared" si="7"/>
        <v>0</v>
      </c>
      <c r="P12" s="163"/>
      <c r="R12" s="662"/>
      <c r="S12" s="664"/>
      <c r="T12" s="38"/>
      <c r="U12" s="31"/>
      <c r="V12" s="13"/>
      <c r="W12" s="35">
        <f t="shared" si="2"/>
        <v>0</v>
      </c>
      <c r="X12" s="163"/>
      <c r="Z12" s="662"/>
      <c r="AA12" s="664"/>
      <c r="AB12" s="38"/>
      <c r="AC12" s="31"/>
      <c r="AD12" s="13"/>
      <c r="AE12" s="35">
        <f t="shared" si="8"/>
        <v>0</v>
      </c>
      <c r="AF12" s="163"/>
      <c r="AH12" s="662"/>
      <c r="AI12" s="664"/>
      <c r="AJ12" s="38"/>
      <c r="AK12" s="31"/>
      <c r="AL12" s="13"/>
      <c r="AM12" s="35"/>
      <c r="AN12" s="163"/>
      <c r="AP12" s="662"/>
      <c r="AQ12" s="664"/>
      <c r="AR12" s="41"/>
      <c r="AS12" s="31"/>
      <c r="AT12" s="13"/>
      <c r="AU12" s="35">
        <f t="shared" si="3"/>
        <v>0</v>
      </c>
      <c r="AV12" s="163"/>
      <c r="AX12" s="662"/>
      <c r="AY12" s="664"/>
      <c r="AZ12" s="41"/>
      <c r="BA12" s="31"/>
      <c r="BB12" s="13"/>
      <c r="BC12" s="35">
        <f t="shared" si="4"/>
        <v>0</v>
      </c>
      <c r="BD12" s="163"/>
      <c r="BF12" s="662"/>
      <c r="BG12" s="664"/>
      <c r="BH12" s="41"/>
      <c r="BI12" s="31"/>
      <c r="BJ12" s="13"/>
      <c r="BK12" s="35">
        <f t="shared" si="5"/>
        <v>0</v>
      </c>
      <c r="BL12" s="163"/>
      <c r="BN12" s="662"/>
      <c r="BO12" s="664"/>
      <c r="BP12" s="38"/>
      <c r="BQ12" s="31"/>
      <c r="BR12" s="13"/>
      <c r="BS12" s="35">
        <f t="shared" si="9"/>
        <v>0</v>
      </c>
      <c r="BT12" s="163"/>
      <c r="BV12" s="662"/>
      <c r="BW12" s="664"/>
      <c r="BX12" s="38"/>
      <c r="BY12" s="31"/>
      <c r="BZ12" s="13"/>
      <c r="CA12" s="35">
        <f t="shared" si="6"/>
        <v>0</v>
      </c>
      <c r="CB12" s="44"/>
    </row>
    <row r="13" spans="1:80" ht="18.75" customHeight="1">
      <c r="B13" s="667"/>
      <c r="C13" s="668"/>
      <c r="D13" s="39"/>
      <c r="E13" s="32"/>
      <c r="F13" s="11"/>
      <c r="G13" s="23"/>
      <c r="H13" s="164"/>
      <c r="J13" s="667"/>
      <c r="K13" s="668"/>
      <c r="L13" s="39"/>
      <c r="M13" s="32"/>
      <c r="N13" s="11"/>
      <c r="O13" s="23">
        <f t="shared" si="7"/>
        <v>0</v>
      </c>
      <c r="P13" s="164"/>
      <c r="R13" s="667"/>
      <c r="S13" s="668"/>
      <c r="T13" s="39"/>
      <c r="U13" s="32"/>
      <c r="V13" s="11"/>
      <c r="W13" s="23"/>
      <c r="X13" s="164"/>
      <c r="Z13" s="667"/>
      <c r="AA13" s="668"/>
      <c r="AB13" s="39"/>
      <c r="AC13" s="32"/>
      <c r="AD13" s="11"/>
      <c r="AE13" s="23">
        <f t="shared" si="8"/>
        <v>0</v>
      </c>
      <c r="AF13" s="164"/>
      <c r="AH13" s="661"/>
      <c r="AI13" s="668"/>
      <c r="AJ13" s="39"/>
      <c r="AK13" s="32"/>
      <c r="AL13" s="11"/>
      <c r="AM13" s="23"/>
      <c r="AN13" s="164"/>
      <c r="AP13" s="667"/>
      <c r="AQ13" s="668"/>
      <c r="AR13" s="42"/>
      <c r="AS13" s="32"/>
      <c r="AT13" s="11"/>
      <c r="AU13" s="23">
        <f t="shared" si="3"/>
        <v>0</v>
      </c>
      <c r="AV13" s="164"/>
      <c r="AX13" s="667"/>
      <c r="AY13" s="668"/>
      <c r="AZ13" s="42"/>
      <c r="BA13" s="32"/>
      <c r="BB13" s="11"/>
      <c r="BC13" s="23">
        <f t="shared" si="4"/>
        <v>0</v>
      </c>
      <c r="BD13" s="164"/>
      <c r="BF13" s="667"/>
      <c r="BG13" s="668"/>
      <c r="BH13" s="42"/>
      <c r="BI13" s="32"/>
      <c r="BJ13" s="11"/>
      <c r="BK13" s="23">
        <f t="shared" si="5"/>
        <v>0</v>
      </c>
      <c r="BL13" s="164"/>
      <c r="BN13" s="661" t="s">
        <v>657</v>
      </c>
      <c r="BO13" s="684" t="s">
        <v>658</v>
      </c>
      <c r="BP13" s="39"/>
      <c r="BQ13" s="32" t="s">
        <v>41</v>
      </c>
      <c r="BR13" s="11">
        <v>3312</v>
      </c>
      <c r="BS13" s="23">
        <f t="shared" si="9"/>
        <v>0</v>
      </c>
      <c r="BT13" s="164" t="s">
        <v>659</v>
      </c>
      <c r="BV13" s="667"/>
      <c r="BW13" s="668"/>
      <c r="BX13" s="39"/>
      <c r="BY13" s="32"/>
      <c r="BZ13" s="11"/>
      <c r="CA13" s="23">
        <f t="shared" si="6"/>
        <v>0</v>
      </c>
      <c r="CB13" s="45"/>
    </row>
    <row r="14" spans="1:80">
      <c r="B14" s="662"/>
      <c r="C14" s="664"/>
      <c r="D14" s="38"/>
      <c r="E14" s="31"/>
      <c r="F14" s="13"/>
      <c r="G14" s="35"/>
      <c r="H14" s="163"/>
      <c r="J14" s="662"/>
      <c r="K14" s="664"/>
      <c r="L14" s="38"/>
      <c r="M14" s="31"/>
      <c r="N14" s="13"/>
      <c r="O14" s="35">
        <f t="shared" si="7"/>
        <v>0</v>
      </c>
      <c r="P14" s="163"/>
      <c r="R14" s="662"/>
      <c r="S14" s="664"/>
      <c r="T14" s="38"/>
      <c r="U14" s="31"/>
      <c r="V14" s="13"/>
      <c r="W14" s="35"/>
      <c r="X14" s="163"/>
      <c r="Z14" s="662"/>
      <c r="AA14" s="664"/>
      <c r="AB14" s="38"/>
      <c r="AC14" s="31"/>
      <c r="AD14" s="13"/>
      <c r="AE14" s="35">
        <f t="shared" si="8"/>
        <v>0</v>
      </c>
      <c r="AF14" s="163"/>
      <c r="AH14" s="662"/>
      <c r="AI14" s="664"/>
      <c r="AJ14" s="38"/>
      <c r="AK14" s="31"/>
      <c r="AL14" s="13"/>
      <c r="AM14" s="35"/>
      <c r="AN14" s="163"/>
      <c r="AP14" s="662"/>
      <c r="AQ14" s="664"/>
      <c r="AR14" s="41"/>
      <c r="AS14" s="31"/>
      <c r="AT14" s="13"/>
      <c r="AU14" s="35">
        <f t="shared" si="3"/>
        <v>0</v>
      </c>
      <c r="AV14" s="163"/>
      <c r="AX14" s="662"/>
      <c r="AY14" s="664"/>
      <c r="AZ14" s="41"/>
      <c r="BA14" s="31"/>
      <c r="BB14" s="13"/>
      <c r="BC14" s="35">
        <f t="shared" si="4"/>
        <v>0</v>
      </c>
      <c r="BD14" s="163"/>
      <c r="BF14" s="662"/>
      <c r="BG14" s="664"/>
      <c r="BH14" s="41"/>
      <c r="BI14" s="31"/>
      <c r="BJ14" s="13"/>
      <c r="BK14" s="35">
        <f t="shared" si="5"/>
        <v>0</v>
      </c>
      <c r="BL14" s="163"/>
      <c r="BN14" s="662"/>
      <c r="BO14" s="686"/>
      <c r="BP14" s="38"/>
      <c r="BQ14" s="31"/>
      <c r="BR14" s="13"/>
      <c r="BS14" s="35">
        <f t="shared" si="9"/>
        <v>0</v>
      </c>
      <c r="BT14" s="163"/>
      <c r="BV14" s="662"/>
      <c r="BW14" s="664"/>
      <c r="BX14" s="38"/>
      <c r="BY14" s="31"/>
      <c r="BZ14" s="13"/>
      <c r="CA14" s="35">
        <f t="shared" si="6"/>
        <v>0</v>
      </c>
      <c r="CB14" s="44"/>
    </row>
    <row r="15" spans="1:80">
      <c r="B15" s="667"/>
      <c r="C15" s="668"/>
      <c r="D15" s="39"/>
      <c r="E15" s="32"/>
      <c r="F15" s="11"/>
      <c r="G15" s="23"/>
      <c r="H15" s="164"/>
      <c r="J15" s="667"/>
      <c r="K15" s="668"/>
      <c r="L15" s="39"/>
      <c r="M15" s="32"/>
      <c r="N15" s="11"/>
      <c r="O15" s="23">
        <f t="shared" si="7"/>
        <v>0</v>
      </c>
      <c r="P15" s="164"/>
      <c r="R15" s="667"/>
      <c r="S15" s="668"/>
      <c r="T15" s="39"/>
      <c r="U15" s="32"/>
      <c r="V15" s="11"/>
      <c r="W15" s="23">
        <f t="shared" ref="W15:W46" si="10">+IF(V15&gt;0,INT(T15*V15),0)</f>
        <v>0</v>
      </c>
      <c r="X15" s="164"/>
      <c r="Z15" s="667"/>
      <c r="AA15" s="668"/>
      <c r="AB15" s="39"/>
      <c r="AC15" s="32"/>
      <c r="AD15" s="11"/>
      <c r="AE15" s="23">
        <f t="shared" si="8"/>
        <v>0</v>
      </c>
      <c r="AF15" s="164"/>
      <c r="AH15" s="667"/>
      <c r="AI15" s="668"/>
      <c r="AJ15" s="39"/>
      <c r="AK15" s="32"/>
      <c r="AL15" s="11"/>
      <c r="AM15" s="23">
        <f t="shared" ref="AM15:AM46" si="11">+IF(AL15&gt;0,INT(AJ15*AL15),0)</f>
        <v>0</v>
      </c>
      <c r="AN15" s="164"/>
      <c r="AP15" s="667"/>
      <c r="AQ15" s="668"/>
      <c r="AR15" s="42"/>
      <c r="AS15" s="32"/>
      <c r="AT15" s="11"/>
      <c r="AU15" s="23">
        <f t="shared" si="3"/>
        <v>0</v>
      </c>
      <c r="AV15" s="164"/>
      <c r="AX15" s="667"/>
      <c r="AY15" s="668"/>
      <c r="AZ15" s="42"/>
      <c r="BA15" s="32"/>
      <c r="BB15" s="11"/>
      <c r="BC15" s="23">
        <f t="shared" si="4"/>
        <v>0</v>
      </c>
      <c r="BD15" s="164"/>
      <c r="BF15" s="667"/>
      <c r="BG15" s="668"/>
      <c r="BH15" s="42"/>
      <c r="BI15" s="32"/>
      <c r="BJ15" s="11"/>
      <c r="BK15" s="23">
        <f t="shared" si="5"/>
        <v>0</v>
      </c>
      <c r="BL15" s="164"/>
      <c r="BN15" s="661" t="s">
        <v>657</v>
      </c>
      <c r="BO15" s="684" t="s">
        <v>908</v>
      </c>
      <c r="BP15" s="39"/>
      <c r="BQ15" s="32" t="s">
        <v>41</v>
      </c>
      <c r="BR15" s="11">
        <v>3644</v>
      </c>
      <c r="BS15" s="23">
        <f t="shared" si="9"/>
        <v>0</v>
      </c>
      <c r="BT15" s="164" t="s">
        <v>660</v>
      </c>
      <c r="BV15" s="667"/>
      <c r="BW15" s="668"/>
      <c r="BX15" s="39"/>
      <c r="BY15" s="32"/>
      <c r="BZ15" s="11"/>
      <c r="CA15" s="23">
        <f t="shared" si="6"/>
        <v>0</v>
      </c>
      <c r="CB15" s="45"/>
    </row>
    <row r="16" spans="1:80">
      <c r="B16" s="662"/>
      <c r="C16" s="664"/>
      <c r="D16" s="38"/>
      <c r="E16" s="31"/>
      <c r="F16" s="13"/>
      <c r="G16" s="35"/>
      <c r="H16" s="163"/>
      <c r="J16" s="662"/>
      <c r="K16" s="664"/>
      <c r="L16" s="38"/>
      <c r="M16" s="31"/>
      <c r="N16" s="13"/>
      <c r="O16" s="35">
        <f t="shared" si="7"/>
        <v>0</v>
      </c>
      <c r="P16" s="163"/>
      <c r="R16" s="662"/>
      <c r="S16" s="664"/>
      <c r="T16" s="38"/>
      <c r="U16" s="31"/>
      <c r="V16" s="13"/>
      <c r="W16" s="35">
        <f t="shared" si="10"/>
        <v>0</v>
      </c>
      <c r="X16" s="163"/>
      <c r="Z16" s="662"/>
      <c r="AA16" s="664"/>
      <c r="AB16" s="38"/>
      <c r="AC16" s="31"/>
      <c r="AD16" s="13"/>
      <c r="AE16" s="35">
        <f t="shared" si="8"/>
        <v>0</v>
      </c>
      <c r="AF16" s="163"/>
      <c r="AH16" s="662"/>
      <c r="AI16" s="664"/>
      <c r="AJ16" s="38"/>
      <c r="AK16" s="31"/>
      <c r="AL16" s="13"/>
      <c r="AM16" s="35">
        <f t="shared" si="11"/>
        <v>0</v>
      </c>
      <c r="AN16" s="163"/>
      <c r="AP16" s="662"/>
      <c r="AQ16" s="664"/>
      <c r="AR16" s="41"/>
      <c r="AS16" s="31"/>
      <c r="AT16" s="13"/>
      <c r="AU16" s="35">
        <f t="shared" si="3"/>
        <v>0</v>
      </c>
      <c r="AV16" s="163"/>
      <c r="AX16" s="662"/>
      <c r="AY16" s="664"/>
      <c r="AZ16" s="41"/>
      <c r="BA16" s="31"/>
      <c r="BB16" s="13"/>
      <c r="BC16" s="35">
        <f t="shared" si="4"/>
        <v>0</v>
      </c>
      <c r="BD16" s="163"/>
      <c r="BF16" s="662"/>
      <c r="BG16" s="664"/>
      <c r="BH16" s="41"/>
      <c r="BI16" s="31"/>
      <c r="BJ16" s="13"/>
      <c r="BK16" s="35">
        <f t="shared" si="5"/>
        <v>0</v>
      </c>
      <c r="BL16" s="163"/>
      <c r="BN16" s="662"/>
      <c r="BO16" s="685"/>
      <c r="BP16" s="38"/>
      <c r="BQ16" s="31"/>
      <c r="BR16" s="13"/>
      <c r="BS16" s="35">
        <f t="shared" si="9"/>
        <v>0</v>
      </c>
      <c r="BT16" s="163"/>
      <c r="BV16" s="662"/>
      <c r="BW16" s="664"/>
      <c r="BX16" s="38"/>
      <c r="BY16" s="31"/>
      <c r="BZ16" s="13"/>
      <c r="CA16" s="35">
        <f t="shared" si="6"/>
        <v>0</v>
      </c>
      <c r="CB16" s="163"/>
    </row>
    <row r="17" spans="2:80">
      <c r="B17" s="661"/>
      <c r="C17" s="663"/>
      <c r="D17" s="39"/>
      <c r="E17" s="32"/>
      <c r="F17" s="11"/>
      <c r="G17" s="23">
        <f t="shared" ref="G17:G46" si="12">+IF(F17&gt;0,INT(D17*F17),0)</f>
        <v>0</v>
      </c>
      <c r="H17" s="164"/>
      <c r="J17" s="661"/>
      <c r="K17" s="663"/>
      <c r="L17" s="39"/>
      <c r="M17" s="32"/>
      <c r="N17" s="11"/>
      <c r="O17" s="23">
        <f t="shared" si="7"/>
        <v>0</v>
      </c>
      <c r="P17" s="164"/>
      <c r="R17" s="661"/>
      <c r="S17" s="663"/>
      <c r="T17" s="39"/>
      <c r="U17" s="32"/>
      <c r="V17" s="11"/>
      <c r="W17" s="23">
        <f t="shared" si="10"/>
        <v>0</v>
      </c>
      <c r="X17" s="164"/>
      <c r="Z17" s="661"/>
      <c r="AA17" s="663"/>
      <c r="AB17" s="39"/>
      <c r="AC17" s="32"/>
      <c r="AD17" s="11"/>
      <c r="AE17" s="23">
        <f t="shared" si="8"/>
        <v>0</v>
      </c>
      <c r="AF17" s="164"/>
      <c r="AH17" s="661"/>
      <c r="AI17" s="663"/>
      <c r="AJ17" s="39"/>
      <c r="AK17" s="32"/>
      <c r="AL17" s="11"/>
      <c r="AM17" s="23">
        <f t="shared" si="11"/>
        <v>0</v>
      </c>
      <c r="AN17" s="164"/>
      <c r="AP17" s="661"/>
      <c r="AQ17" s="663"/>
      <c r="AR17" s="42"/>
      <c r="AS17" s="32"/>
      <c r="AT17" s="11"/>
      <c r="AU17" s="23">
        <f t="shared" si="3"/>
        <v>0</v>
      </c>
      <c r="AV17" s="164"/>
      <c r="AX17" s="661"/>
      <c r="AY17" s="663"/>
      <c r="AZ17" s="42"/>
      <c r="BA17" s="32"/>
      <c r="BB17" s="11"/>
      <c r="BC17" s="23">
        <f t="shared" si="4"/>
        <v>0</v>
      </c>
      <c r="BD17" s="164"/>
      <c r="BF17" s="661"/>
      <c r="BG17" s="663"/>
      <c r="BH17" s="42"/>
      <c r="BI17" s="32"/>
      <c r="BJ17" s="11"/>
      <c r="BK17" s="23">
        <f t="shared" si="5"/>
        <v>0</v>
      </c>
      <c r="BL17" s="164"/>
      <c r="BN17" s="661" t="s">
        <v>635</v>
      </c>
      <c r="BO17" s="663" t="s">
        <v>636</v>
      </c>
      <c r="BP17" s="39"/>
      <c r="BQ17" s="32" t="s">
        <v>41</v>
      </c>
      <c r="BR17" s="11">
        <v>2000</v>
      </c>
      <c r="BS17" s="23">
        <f t="shared" si="9"/>
        <v>0</v>
      </c>
      <c r="BT17" s="164"/>
      <c r="BV17" s="661"/>
      <c r="BW17" s="663"/>
      <c r="BX17" s="39"/>
      <c r="BY17" s="32"/>
      <c r="BZ17" s="11"/>
      <c r="CA17" s="23">
        <f t="shared" si="6"/>
        <v>0</v>
      </c>
      <c r="CB17" s="45"/>
    </row>
    <row r="18" spans="2:80">
      <c r="B18" s="662"/>
      <c r="C18" s="664"/>
      <c r="D18" s="38"/>
      <c r="E18" s="31"/>
      <c r="F18" s="13"/>
      <c r="G18" s="35">
        <f t="shared" si="12"/>
        <v>0</v>
      </c>
      <c r="H18" s="163"/>
      <c r="J18" s="662"/>
      <c r="K18" s="664"/>
      <c r="L18" s="38"/>
      <c r="M18" s="31"/>
      <c r="N18" s="13"/>
      <c r="O18" s="35">
        <f t="shared" si="7"/>
        <v>0</v>
      </c>
      <c r="P18" s="163"/>
      <c r="R18" s="662"/>
      <c r="S18" s="664"/>
      <c r="T18" s="38"/>
      <c r="U18" s="31"/>
      <c r="V18" s="13"/>
      <c r="W18" s="35">
        <f t="shared" si="10"/>
        <v>0</v>
      </c>
      <c r="X18" s="163"/>
      <c r="Z18" s="662"/>
      <c r="AA18" s="664"/>
      <c r="AB18" s="38"/>
      <c r="AC18" s="31"/>
      <c r="AD18" s="13"/>
      <c r="AE18" s="35">
        <f t="shared" si="8"/>
        <v>0</v>
      </c>
      <c r="AF18" s="163"/>
      <c r="AH18" s="662"/>
      <c r="AI18" s="664"/>
      <c r="AJ18" s="38"/>
      <c r="AK18" s="31"/>
      <c r="AL18" s="13"/>
      <c r="AM18" s="35">
        <f t="shared" si="11"/>
        <v>0</v>
      </c>
      <c r="AN18" s="163"/>
      <c r="AP18" s="662"/>
      <c r="AQ18" s="664"/>
      <c r="AR18" s="41"/>
      <c r="AS18" s="31"/>
      <c r="AT18" s="13"/>
      <c r="AU18" s="35">
        <f t="shared" si="3"/>
        <v>0</v>
      </c>
      <c r="AV18" s="163"/>
      <c r="AX18" s="662"/>
      <c r="AY18" s="664"/>
      <c r="AZ18" s="41"/>
      <c r="BA18" s="31"/>
      <c r="BB18" s="13"/>
      <c r="BC18" s="35">
        <f t="shared" si="4"/>
        <v>0</v>
      </c>
      <c r="BD18" s="163"/>
      <c r="BF18" s="662"/>
      <c r="BG18" s="664"/>
      <c r="BH18" s="41"/>
      <c r="BI18" s="31"/>
      <c r="BJ18" s="13"/>
      <c r="BK18" s="35">
        <f t="shared" si="5"/>
        <v>0</v>
      </c>
      <c r="BL18" s="163"/>
      <c r="BN18" s="662"/>
      <c r="BO18" s="664"/>
      <c r="BP18" s="38"/>
      <c r="BQ18" s="31"/>
      <c r="BR18" s="13"/>
      <c r="BS18" s="35">
        <f t="shared" si="9"/>
        <v>0</v>
      </c>
      <c r="BT18" s="163"/>
      <c r="BV18" s="662"/>
      <c r="BW18" s="664"/>
      <c r="BX18" s="38"/>
      <c r="BY18" s="31"/>
      <c r="BZ18" s="13"/>
      <c r="CA18" s="35">
        <f t="shared" si="6"/>
        <v>0</v>
      </c>
      <c r="CB18" s="44"/>
    </row>
    <row r="19" spans="2:80">
      <c r="B19" s="661"/>
      <c r="C19" s="663"/>
      <c r="D19" s="39"/>
      <c r="E19" s="32"/>
      <c r="F19" s="11"/>
      <c r="G19" s="23">
        <f t="shared" si="12"/>
        <v>0</v>
      </c>
      <c r="H19" s="164"/>
      <c r="J19" s="661"/>
      <c r="K19" s="663"/>
      <c r="L19" s="39"/>
      <c r="M19" s="32"/>
      <c r="N19" s="11"/>
      <c r="O19" s="23">
        <f t="shared" si="7"/>
        <v>0</v>
      </c>
      <c r="P19" s="164"/>
      <c r="R19" s="661"/>
      <c r="S19" s="663"/>
      <c r="T19" s="39"/>
      <c r="U19" s="32"/>
      <c r="V19" s="11"/>
      <c r="W19" s="23">
        <f t="shared" si="10"/>
        <v>0</v>
      </c>
      <c r="X19" s="164"/>
      <c r="Z19" s="661"/>
      <c r="AA19" s="663"/>
      <c r="AB19" s="39"/>
      <c r="AC19" s="32"/>
      <c r="AD19" s="11"/>
      <c r="AE19" s="23">
        <f t="shared" si="8"/>
        <v>0</v>
      </c>
      <c r="AF19" s="164"/>
      <c r="AH19" s="661"/>
      <c r="AI19" s="663"/>
      <c r="AJ19" s="39"/>
      <c r="AK19" s="32"/>
      <c r="AL19" s="11"/>
      <c r="AM19" s="23">
        <f t="shared" si="11"/>
        <v>0</v>
      </c>
      <c r="AN19" s="164"/>
      <c r="AP19" s="667"/>
      <c r="AQ19" s="668"/>
      <c r="AR19" s="42"/>
      <c r="AS19" s="32"/>
      <c r="AT19" s="11"/>
      <c r="AU19" s="23">
        <f t="shared" si="3"/>
        <v>0</v>
      </c>
      <c r="AV19" s="164"/>
      <c r="AX19" s="667"/>
      <c r="AY19" s="668"/>
      <c r="AZ19" s="42"/>
      <c r="BA19" s="32"/>
      <c r="BB19" s="11"/>
      <c r="BC19" s="23">
        <f t="shared" si="4"/>
        <v>0</v>
      </c>
      <c r="BD19" s="164"/>
      <c r="BF19" s="667"/>
      <c r="BG19" s="668"/>
      <c r="BH19" s="42"/>
      <c r="BI19" s="32"/>
      <c r="BJ19" s="11"/>
      <c r="BK19" s="23">
        <f t="shared" si="5"/>
        <v>0</v>
      </c>
      <c r="BL19" s="164"/>
      <c r="BN19" s="667" t="s">
        <v>661</v>
      </c>
      <c r="BO19" s="668" t="s">
        <v>856</v>
      </c>
      <c r="BP19" s="39"/>
      <c r="BQ19" s="32" t="s">
        <v>41</v>
      </c>
      <c r="BR19" s="11">
        <v>2431</v>
      </c>
      <c r="BS19" s="23">
        <f t="shared" si="9"/>
        <v>0</v>
      </c>
      <c r="BT19" s="164" t="s">
        <v>656</v>
      </c>
      <c r="BV19" s="667"/>
      <c r="BW19" s="668"/>
      <c r="BX19" s="39"/>
      <c r="BY19" s="32"/>
      <c r="BZ19" s="11"/>
      <c r="CA19" s="23">
        <f t="shared" si="6"/>
        <v>0</v>
      </c>
      <c r="CB19" s="45"/>
    </row>
    <row r="20" spans="2:80">
      <c r="B20" s="662"/>
      <c r="C20" s="664"/>
      <c r="D20" s="38"/>
      <c r="E20" s="31"/>
      <c r="F20" s="13"/>
      <c r="G20" s="35">
        <f t="shared" si="12"/>
        <v>0</v>
      </c>
      <c r="H20" s="163"/>
      <c r="J20" s="662"/>
      <c r="K20" s="664"/>
      <c r="L20" s="38"/>
      <c r="M20" s="31"/>
      <c r="N20" s="13"/>
      <c r="O20" s="35">
        <f t="shared" si="7"/>
        <v>0</v>
      </c>
      <c r="P20" s="163"/>
      <c r="R20" s="662"/>
      <c r="S20" s="664"/>
      <c r="T20" s="38"/>
      <c r="U20" s="31"/>
      <c r="V20" s="13"/>
      <c r="W20" s="35">
        <f t="shared" si="10"/>
        <v>0</v>
      </c>
      <c r="X20" s="163"/>
      <c r="Z20" s="662"/>
      <c r="AA20" s="664"/>
      <c r="AB20" s="38"/>
      <c r="AC20" s="31"/>
      <c r="AD20" s="13"/>
      <c r="AE20" s="35">
        <f t="shared" si="8"/>
        <v>0</v>
      </c>
      <c r="AF20" s="163"/>
      <c r="AH20" s="662"/>
      <c r="AI20" s="664"/>
      <c r="AJ20" s="38"/>
      <c r="AK20" s="31"/>
      <c r="AL20" s="13"/>
      <c r="AM20" s="35">
        <f t="shared" si="11"/>
        <v>0</v>
      </c>
      <c r="AN20" s="163"/>
      <c r="AP20" s="662"/>
      <c r="AQ20" s="664"/>
      <c r="AR20" s="41"/>
      <c r="AS20" s="31"/>
      <c r="AT20" s="13"/>
      <c r="AU20" s="35">
        <f t="shared" si="3"/>
        <v>0</v>
      </c>
      <c r="AV20" s="163"/>
      <c r="AX20" s="662"/>
      <c r="AY20" s="664"/>
      <c r="AZ20" s="41"/>
      <c r="BA20" s="31"/>
      <c r="BB20" s="13"/>
      <c r="BC20" s="35">
        <f t="shared" si="4"/>
        <v>0</v>
      </c>
      <c r="BD20" s="163"/>
      <c r="BF20" s="662"/>
      <c r="BG20" s="664"/>
      <c r="BH20" s="41"/>
      <c r="BI20" s="31"/>
      <c r="BJ20" s="13"/>
      <c r="BK20" s="35">
        <f t="shared" si="5"/>
        <v>0</v>
      </c>
      <c r="BL20" s="163"/>
      <c r="BN20" s="662"/>
      <c r="BO20" s="664"/>
      <c r="BP20" s="38"/>
      <c r="BQ20" s="31"/>
      <c r="BR20" s="13"/>
      <c r="BS20" s="35">
        <f t="shared" si="9"/>
        <v>0</v>
      </c>
      <c r="BT20" s="163"/>
      <c r="BV20" s="662"/>
      <c r="BW20" s="664"/>
      <c r="BX20" s="38"/>
      <c r="BY20" s="31"/>
      <c r="BZ20" s="13"/>
      <c r="CA20" s="35">
        <f t="shared" si="6"/>
        <v>0</v>
      </c>
      <c r="CB20" s="44"/>
    </row>
    <row r="21" spans="2:80">
      <c r="B21" s="661"/>
      <c r="C21" s="663"/>
      <c r="D21" s="39"/>
      <c r="E21" s="32"/>
      <c r="F21" s="11"/>
      <c r="G21" s="23">
        <f t="shared" si="12"/>
        <v>0</v>
      </c>
      <c r="H21" s="164"/>
      <c r="J21" s="661"/>
      <c r="K21" s="663"/>
      <c r="L21" s="39"/>
      <c r="M21" s="32"/>
      <c r="N21" s="11"/>
      <c r="O21" s="23">
        <f t="shared" si="7"/>
        <v>0</v>
      </c>
      <c r="P21" s="164"/>
      <c r="R21" s="661"/>
      <c r="S21" s="663"/>
      <c r="T21" s="39"/>
      <c r="U21" s="32"/>
      <c r="V21" s="11"/>
      <c r="W21" s="23">
        <f t="shared" si="10"/>
        <v>0</v>
      </c>
      <c r="X21" s="164"/>
      <c r="Z21" s="661"/>
      <c r="AA21" s="663"/>
      <c r="AB21" s="39"/>
      <c r="AC21" s="32"/>
      <c r="AD21" s="11"/>
      <c r="AE21" s="23">
        <f t="shared" si="8"/>
        <v>0</v>
      </c>
      <c r="AF21" s="164"/>
      <c r="AH21" s="661"/>
      <c r="AI21" s="663"/>
      <c r="AJ21" s="39"/>
      <c r="AK21" s="32"/>
      <c r="AL21" s="11"/>
      <c r="AM21" s="23">
        <f t="shared" si="11"/>
        <v>0</v>
      </c>
      <c r="AN21" s="164"/>
      <c r="AP21" s="661"/>
      <c r="AQ21" s="663"/>
      <c r="AR21" s="42"/>
      <c r="AS21" s="32"/>
      <c r="AT21" s="11"/>
      <c r="AU21" s="23">
        <f t="shared" si="3"/>
        <v>0</v>
      </c>
      <c r="AV21" s="164"/>
      <c r="AX21" s="661"/>
      <c r="AY21" s="663"/>
      <c r="AZ21" s="42"/>
      <c r="BA21" s="32"/>
      <c r="BB21" s="11"/>
      <c r="BC21" s="23">
        <f t="shared" si="4"/>
        <v>0</v>
      </c>
      <c r="BD21" s="164"/>
      <c r="BF21" s="661"/>
      <c r="BG21" s="663"/>
      <c r="BH21" s="42"/>
      <c r="BI21" s="32"/>
      <c r="BJ21" s="11"/>
      <c r="BK21" s="23">
        <f t="shared" si="5"/>
        <v>0</v>
      </c>
      <c r="BL21" s="164"/>
      <c r="BN21" s="661" t="s">
        <v>637</v>
      </c>
      <c r="BO21" s="668"/>
      <c r="BP21" s="39"/>
      <c r="BQ21" s="32" t="s">
        <v>41</v>
      </c>
      <c r="BR21" s="11">
        <v>2800</v>
      </c>
      <c r="BS21" s="23">
        <f t="shared" si="9"/>
        <v>0</v>
      </c>
      <c r="BT21" s="164"/>
      <c r="BV21" s="661"/>
      <c r="BW21" s="668"/>
      <c r="BX21" s="39"/>
      <c r="BY21" s="32"/>
      <c r="BZ21" s="11"/>
      <c r="CA21" s="23">
        <f t="shared" si="6"/>
        <v>0</v>
      </c>
      <c r="CB21" s="45"/>
    </row>
    <row r="22" spans="2:80">
      <c r="B22" s="662"/>
      <c r="C22" s="664"/>
      <c r="D22" s="38"/>
      <c r="E22" s="31"/>
      <c r="F22" s="13"/>
      <c r="G22" s="35">
        <f t="shared" si="12"/>
        <v>0</v>
      </c>
      <c r="H22" s="163"/>
      <c r="J22" s="662"/>
      <c r="K22" s="664"/>
      <c r="L22" s="38"/>
      <c r="M22" s="31"/>
      <c r="N22" s="13"/>
      <c r="O22" s="35">
        <f t="shared" si="7"/>
        <v>0</v>
      </c>
      <c r="P22" s="163"/>
      <c r="R22" s="662"/>
      <c r="S22" s="664"/>
      <c r="T22" s="38"/>
      <c r="U22" s="31"/>
      <c r="V22" s="13"/>
      <c r="W22" s="35">
        <f t="shared" si="10"/>
        <v>0</v>
      </c>
      <c r="X22" s="163"/>
      <c r="Z22" s="662"/>
      <c r="AA22" s="664"/>
      <c r="AB22" s="38"/>
      <c r="AC22" s="31"/>
      <c r="AD22" s="13"/>
      <c r="AE22" s="35">
        <f t="shared" si="8"/>
        <v>0</v>
      </c>
      <c r="AF22" s="163"/>
      <c r="AH22" s="662"/>
      <c r="AI22" s="664"/>
      <c r="AJ22" s="38"/>
      <c r="AK22" s="31"/>
      <c r="AL22" s="13"/>
      <c r="AM22" s="35">
        <f t="shared" si="11"/>
        <v>0</v>
      </c>
      <c r="AN22" s="163"/>
      <c r="AP22" s="662"/>
      <c r="AQ22" s="664"/>
      <c r="AR22" s="41"/>
      <c r="AS22" s="31"/>
      <c r="AT22" s="13"/>
      <c r="AU22" s="35">
        <f t="shared" si="3"/>
        <v>0</v>
      </c>
      <c r="AV22" s="163"/>
      <c r="AX22" s="662"/>
      <c r="AY22" s="664"/>
      <c r="AZ22" s="41"/>
      <c r="BA22" s="31"/>
      <c r="BB22" s="13"/>
      <c r="BC22" s="35">
        <f t="shared" si="4"/>
        <v>0</v>
      </c>
      <c r="BD22" s="163"/>
      <c r="BF22" s="662"/>
      <c r="BG22" s="664"/>
      <c r="BH22" s="41"/>
      <c r="BI22" s="31"/>
      <c r="BJ22" s="13"/>
      <c r="BK22" s="35">
        <f t="shared" si="5"/>
        <v>0</v>
      </c>
      <c r="BL22" s="163"/>
      <c r="BN22" s="662"/>
      <c r="BO22" s="664"/>
      <c r="BP22" s="38"/>
      <c r="BQ22" s="31"/>
      <c r="BR22" s="13"/>
      <c r="BS22" s="35">
        <f t="shared" si="9"/>
        <v>0</v>
      </c>
      <c r="BT22" s="163"/>
      <c r="BV22" s="662"/>
      <c r="BW22" s="664"/>
      <c r="BX22" s="38"/>
      <c r="BY22" s="31"/>
      <c r="BZ22" s="13"/>
      <c r="CA22" s="35">
        <f t="shared" si="6"/>
        <v>0</v>
      </c>
      <c r="CB22" s="44"/>
    </row>
    <row r="23" spans="2:80">
      <c r="B23" s="661"/>
      <c r="C23" s="663"/>
      <c r="D23" s="39"/>
      <c r="E23" s="32"/>
      <c r="F23" s="11"/>
      <c r="G23" s="23">
        <f t="shared" si="12"/>
        <v>0</v>
      </c>
      <c r="H23" s="164"/>
      <c r="J23" s="661"/>
      <c r="K23" s="663"/>
      <c r="L23" s="39"/>
      <c r="M23" s="32"/>
      <c r="N23" s="11"/>
      <c r="O23" s="23">
        <f t="shared" si="7"/>
        <v>0</v>
      </c>
      <c r="P23" s="164"/>
      <c r="R23" s="661"/>
      <c r="S23" s="663"/>
      <c r="T23" s="39"/>
      <c r="U23" s="32"/>
      <c r="V23" s="11"/>
      <c r="W23" s="23">
        <f t="shared" si="10"/>
        <v>0</v>
      </c>
      <c r="X23" s="164"/>
      <c r="Z23" s="661"/>
      <c r="AA23" s="663"/>
      <c r="AB23" s="39"/>
      <c r="AC23" s="32"/>
      <c r="AD23" s="11"/>
      <c r="AE23" s="23">
        <f t="shared" si="8"/>
        <v>0</v>
      </c>
      <c r="AF23" s="164"/>
      <c r="AH23" s="661"/>
      <c r="AI23" s="663"/>
      <c r="AJ23" s="39"/>
      <c r="AK23" s="32"/>
      <c r="AL23" s="11"/>
      <c r="AM23" s="23">
        <f t="shared" si="11"/>
        <v>0</v>
      </c>
      <c r="AN23" s="164"/>
      <c r="AP23" s="661"/>
      <c r="AQ23" s="663"/>
      <c r="AR23" s="42"/>
      <c r="AS23" s="32"/>
      <c r="AT23" s="11"/>
      <c r="AU23" s="23">
        <f t="shared" si="3"/>
        <v>0</v>
      </c>
      <c r="AV23" s="164"/>
      <c r="AX23" s="661"/>
      <c r="AY23" s="663"/>
      <c r="AZ23" s="42"/>
      <c r="BA23" s="32"/>
      <c r="BB23" s="11"/>
      <c r="BC23" s="23">
        <f t="shared" si="4"/>
        <v>0</v>
      </c>
      <c r="BD23" s="164"/>
      <c r="BF23" s="661"/>
      <c r="BG23" s="663"/>
      <c r="BH23" s="42"/>
      <c r="BI23" s="32"/>
      <c r="BJ23" s="11"/>
      <c r="BK23" s="23">
        <f t="shared" si="5"/>
        <v>0</v>
      </c>
      <c r="BL23" s="164"/>
      <c r="BN23" s="667" t="s">
        <v>285</v>
      </c>
      <c r="BO23" s="668"/>
      <c r="BP23" s="39"/>
      <c r="BQ23" s="32" t="s">
        <v>286</v>
      </c>
      <c r="BR23" s="11">
        <v>96</v>
      </c>
      <c r="BS23" s="23">
        <f t="shared" si="9"/>
        <v>0</v>
      </c>
      <c r="BT23" s="164" t="s">
        <v>662</v>
      </c>
      <c r="BV23" s="661"/>
      <c r="BW23" s="663"/>
      <c r="BX23" s="39"/>
      <c r="BY23" s="32"/>
      <c r="BZ23" s="11"/>
      <c r="CA23" s="23">
        <f t="shared" si="6"/>
        <v>0</v>
      </c>
      <c r="CB23" s="45"/>
    </row>
    <row r="24" spans="2:80">
      <c r="B24" s="662"/>
      <c r="C24" s="664"/>
      <c r="D24" s="38"/>
      <c r="E24" s="31"/>
      <c r="F24" s="13"/>
      <c r="G24" s="35">
        <f t="shared" si="12"/>
        <v>0</v>
      </c>
      <c r="H24" s="163"/>
      <c r="J24" s="662"/>
      <c r="K24" s="664"/>
      <c r="L24" s="38"/>
      <c r="M24" s="31"/>
      <c r="N24" s="13"/>
      <c r="O24" s="35">
        <f t="shared" si="7"/>
        <v>0</v>
      </c>
      <c r="P24" s="163"/>
      <c r="R24" s="662"/>
      <c r="S24" s="664"/>
      <c r="T24" s="38"/>
      <c r="U24" s="31"/>
      <c r="V24" s="13"/>
      <c r="W24" s="35">
        <f t="shared" si="10"/>
        <v>0</v>
      </c>
      <c r="X24" s="163"/>
      <c r="Z24" s="662"/>
      <c r="AA24" s="664"/>
      <c r="AB24" s="38"/>
      <c r="AC24" s="31"/>
      <c r="AD24" s="13"/>
      <c r="AE24" s="35">
        <f t="shared" si="8"/>
        <v>0</v>
      </c>
      <c r="AF24" s="163"/>
      <c r="AH24" s="662"/>
      <c r="AI24" s="664"/>
      <c r="AJ24" s="38"/>
      <c r="AK24" s="31"/>
      <c r="AL24" s="13"/>
      <c r="AM24" s="35">
        <f t="shared" si="11"/>
        <v>0</v>
      </c>
      <c r="AN24" s="163"/>
      <c r="AP24" s="662"/>
      <c r="AQ24" s="664"/>
      <c r="AR24" s="41"/>
      <c r="AS24" s="31"/>
      <c r="AT24" s="13"/>
      <c r="AU24" s="35">
        <f t="shared" si="3"/>
        <v>0</v>
      </c>
      <c r="AV24" s="163"/>
      <c r="AX24" s="662"/>
      <c r="AY24" s="664"/>
      <c r="AZ24" s="41"/>
      <c r="BA24" s="31"/>
      <c r="BB24" s="13"/>
      <c r="BC24" s="35">
        <f t="shared" si="4"/>
        <v>0</v>
      </c>
      <c r="BD24" s="163"/>
      <c r="BF24" s="662"/>
      <c r="BG24" s="664"/>
      <c r="BH24" s="41"/>
      <c r="BI24" s="31"/>
      <c r="BJ24" s="13"/>
      <c r="BK24" s="35">
        <f t="shared" si="5"/>
        <v>0</v>
      </c>
      <c r="BL24" s="163"/>
      <c r="BN24" s="662"/>
      <c r="BO24" s="664"/>
      <c r="BP24" s="38"/>
      <c r="BQ24" s="31"/>
      <c r="BR24" s="13"/>
      <c r="BS24" s="35">
        <f t="shared" si="9"/>
        <v>0</v>
      </c>
      <c r="BT24" s="163"/>
      <c r="BV24" s="662"/>
      <c r="BW24" s="664"/>
      <c r="BX24" s="38"/>
      <c r="BY24" s="31"/>
      <c r="BZ24" s="13"/>
      <c r="CA24" s="35">
        <f t="shared" si="6"/>
        <v>0</v>
      </c>
      <c r="CB24" s="44"/>
    </row>
    <row r="25" spans="2:80">
      <c r="B25" s="661"/>
      <c r="C25" s="663"/>
      <c r="D25" s="39"/>
      <c r="E25" s="32"/>
      <c r="F25" s="11"/>
      <c r="G25" s="23">
        <f t="shared" si="12"/>
        <v>0</v>
      </c>
      <c r="H25" s="164"/>
      <c r="J25" s="661"/>
      <c r="K25" s="663"/>
      <c r="L25" s="39"/>
      <c r="M25" s="32"/>
      <c r="N25" s="11"/>
      <c r="O25" s="23">
        <f t="shared" si="7"/>
        <v>0</v>
      </c>
      <c r="P25" s="164"/>
      <c r="R25" s="661"/>
      <c r="S25" s="663"/>
      <c r="T25" s="39"/>
      <c r="U25" s="32"/>
      <c r="V25" s="11"/>
      <c r="W25" s="23">
        <f t="shared" si="10"/>
        <v>0</v>
      </c>
      <c r="X25" s="164"/>
      <c r="Z25" s="661"/>
      <c r="AA25" s="663"/>
      <c r="AB25" s="39"/>
      <c r="AC25" s="32"/>
      <c r="AD25" s="11"/>
      <c r="AE25" s="23">
        <f t="shared" si="8"/>
        <v>0</v>
      </c>
      <c r="AF25" s="164"/>
      <c r="AH25" s="661"/>
      <c r="AI25" s="663"/>
      <c r="AJ25" s="39"/>
      <c r="AK25" s="32"/>
      <c r="AL25" s="11"/>
      <c r="AM25" s="23">
        <f t="shared" si="11"/>
        <v>0</v>
      </c>
      <c r="AN25" s="164"/>
      <c r="AP25" s="661"/>
      <c r="AQ25" s="663"/>
      <c r="AR25" s="42"/>
      <c r="AS25" s="32"/>
      <c r="AT25" s="11"/>
      <c r="AU25" s="23">
        <f t="shared" si="3"/>
        <v>0</v>
      </c>
      <c r="AV25" s="164"/>
      <c r="AX25" s="661"/>
      <c r="AY25" s="663"/>
      <c r="AZ25" s="42"/>
      <c r="BA25" s="32"/>
      <c r="BB25" s="11"/>
      <c r="BC25" s="23">
        <f t="shared" si="4"/>
        <v>0</v>
      </c>
      <c r="BD25" s="164"/>
      <c r="BF25" s="661"/>
      <c r="BG25" s="663"/>
      <c r="BH25" s="42"/>
      <c r="BI25" s="32"/>
      <c r="BJ25" s="11"/>
      <c r="BK25" s="23">
        <f t="shared" si="5"/>
        <v>0</v>
      </c>
      <c r="BL25" s="164"/>
      <c r="BN25" s="661" t="s">
        <v>350</v>
      </c>
      <c r="BO25" s="668" t="s">
        <v>638</v>
      </c>
      <c r="BP25" s="39"/>
      <c r="BQ25" s="32" t="s">
        <v>17</v>
      </c>
      <c r="BR25" s="29">
        <v>160</v>
      </c>
      <c r="BS25" s="23">
        <f t="shared" si="9"/>
        <v>0</v>
      </c>
      <c r="BT25" s="164"/>
      <c r="BV25" s="661"/>
      <c r="BW25" s="663"/>
      <c r="BX25" s="39"/>
      <c r="BY25" s="32"/>
      <c r="BZ25" s="11"/>
      <c r="CA25" s="23">
        <f t="shared" si="6"/>
        <v>0</v>
      </c>
      <c r="CB25" s="45"/>
    </row>
    <row r="26" spans="2:80">
      <c r="B26" s="662"/>
      <c r="C26" s="664"/>
      <c r="D26" s="38"/>
      <c r="E26" s="31"/>
      <c r="F26" s="13"/>
      <c r="G26" s="35">
        <f t="shared" si="12"/>
        <v>0</v>
      </c>
      <c r="H26" s="163"/>
      <c r="J26" s="662"/>
      <c r="K26" s="664"/>
      <c r="L26" s="38"/>
      <c r="M26" s="31"/>
      <c r="N26" s="13"/>
      <c r="O26" s="35">
        <f t="shared" si="7"/>
        <v>0</v>
      </c>
      <c r="P26" s="163"/>
      <c r="R26" s="662"/>
      <c r="S26" s="664"/>
      <c r="T26" s="38"/>
      <c r="U26" s="31"/>
      <c r="V26" s="13"/>
      <c r="W26" s="35">
        <f t="shared" si="10"/>
        <v>0</v>
      </c>
      <c r="X26" s="163"/>
      <c r="Z26" s="662"/>
      <c r="AA26" s="664"/>
      <c r="AB26" s="38"/>
      <c r="AC26" s="31"/>
      <c r="AD26" s="13"/>
      <c r="AE26" s="35">
        <f t="shared" si="8"/>
        <v>0</v>
      </c>
      <c r="AF26" s="163"/>
      <c r="AH26" s="662"/>
      <c r="AI26" s="664"/>
      <c r="AJ26" s="38"/>
      <c r="AK26" s="31"/>
      <c r="AL26" s="13"/>
      <c r="AM26" s="35">
        <f t="shared" si="11"/>
        <v>0</v>
      </c>
      <c r="AN26" s="163"/>
      <c r="AP26" s="662"/>
      <c r="AQ26" s="664"/>
      <c r="AR26" s="41"/>
      <c r="AS26" s="31"/>
      <c r="AT26" s="13"/>
      <c r="AU26" s="35">
        <f t="shared" si="3"/>
        <v>0</v>
      </c>
      <c r="AV26" s="163"/>
      <c r="AX26" s="662"/>
      <c r="AY26" s="664"/>
      <c r="AZ26" s="41"/>
      <c r="BA26" s="31"/>
      <c r="BB26" s="13"/>
      <c r="BC26" s="35">
        <f t="shared" si="4"/>
        <v>0</v>
      </c>
      <c r="BD26" s="163"/>
      <c r="BF26" s="662"/>
      <c r="BG26" s="664"/>
      <c r="BH26" s="41"/>
      <c r="BI26" s="31"/>
      <c r="BJ26" s="13"/>
      <c r="BK26" s="35">
        <f t="shared" si="5"/>
        <v>0</v>
      </c>
      <c r="BL26" s="163"/>
      <c r="BN26" s="662"/>
      <c r="BO26" s="664"/>
      <c r="BP26" s="38"/>
      <c r="BQ26" s="31"/>
      <c r="BR26" s="13"/>
      <c r="BS26" s="35">
        <f t="shared" si="9"/>
        <v>0</v>
      </c>
      <c r="BT26" s="163"/>
      <c r="BV26" s="662"/>
      <c r="BW26" s="664"/>
      <c r="BX26" s="38"/>
      <c r="BY26" s="31"/>
      <c r="BZ26" s="13"/>
      <c r="CA26" s="35">
        <f t="shared" si="6"/>
        <v>0</v>
      </c>
      <c r="CB26" s="44"/>
    </row>
    <row r="27" spans="2:80">
      <c r="B27" s="661"/>
      <c r="C27" s="663"/>
      <c r="D27" s="39"/>
      <c r="E27" s="32"/>
      <c r="F27" s="11"/>
      <c r="G27" s="23">
        <f t="shared" si="12"/>
        <v>0</v>
      </c>
      <c r="H27" s="164"/>
      <c r="J27" s="661"/>
      <c r="K27" s="663"/>
      <c r="L27" s="39"/>
      <c r="M27" s="32"/>
      <c r="N27" s="11"/>
      <c r="O27" s="23">
        <f t="shared" si="7"/>
        <v>0</v>
      </c>
      <c r="P27" s="164"/>
      <c r="R27" s="661"/>
      <c r="S27" s="663"/>
      <c r="T27" s="39"/>
      <c r="U27" s="32"/>
      <c r="V27" s="11"/>
      <c r="W27" s="23">
        <f t="shared" si="10"/>
        <v>0</v>
      </c>
      <c r="X27" s="164"/>
      <c r="Z27" s="661"/>
      <c r="AA27" s="663"/>
      <c r="AB27" s="39"/>
      <c r="AC27" s="32"/>
      <c r="AD27" s="11"/>
      <c r="AE27" s="23">
        <f t="shared" si="8"/>
        <v>0</v>
      </c>
      <c r="AF27" s="164"/>
      <c r="AH27" s="661"/>
      <c r="AI27" s="663"/>
      <c r="AJ27" s="39"/>
      <c r="AK27" s="32"/>
      <c r="AL27" s="11"/>
      <c r="AM27" s="23">
        <f t="shared" si="11"/>
        <v>0</v>
      </c>
      <c r="AN27" s="164"/>
      <c r="AP27" s="661"/>
      <c r="AQ27" s="663"/>
      <c r="AR27" s="42"/>
      <c r="AS27" s="32"/>
      <c r="AT27" s="11"/>
      <c r="AU27" s="23">
        <f t="shared" si="3"/>
        <v>0</v>
      </c>
      <c r="AV27" s="164"/>
      <c r="AX27" s="661"/>
      <c r="AY27" s="663"/>
      <c r="AZ27" s="42"/>
      <c r="BA27" s="32"/>
      <c r="BB27" s="11"/>
      <c r="BC27" s="23">
        <f t="shared" si="4"/>
        <v>0</v>
      </c>
      <c r="BD27" s="164"/>
      <c r="BF27" s="661"/>
      <c r="BG27" s="663"/>
      <c r="BH27" s="42"/>
      <c r="BI27" s="32"/>
      <c r="BJ27" s="11"/>
      <c r="BK27" s="23">
        <f t="shared" si="5"/>
        <v>0</v>
      </c>
      <c r="BL27" s="164"/>
      <c r="BN27" s="667" t="s">
        <v>648</v>
      </c>
      <c r="BO27" s="668" t="s">
        <v>782</v>
      </c>
      <c r="BP27" s="39"/>
      <c r="BQ27" s="32" t="s">
        <v>35</v>
      </c>
      <c r="BR27" s="11">
        <v>5075</v>
      </c>
      <c r="BS27" s="23">
        <f t="shared" si="9"/>
        <v>0</v>
      </c>
      <c r="BT27" s="164" t="s">
        <v>646</v>
      </c>
      <c r="BV27" s="661"/>
      <c r="BW27" s="663"/>
      <c r="BX27" s="39"/>
      <c r="BY27" s="32"/>
      <c r="BZ27" s="11"/>
      <c r="CA27" s="23">
        <f t="shared" si="6"/>
        <v>0</v>
      </c>
      <c r="CB27" s="45"/>
    </row>
    <row r="28" spans="2:80">
      <c r="B28" s="662"/>
      <c r="C28" s="664"/>
      <c r="D28" s="38"/>
      <c r="E28" s="31"/>
      <c r="F28" s="13"/>
      <c r="G28" s="35">
        <f t="shared" si="12"/>
        <v>0</v>
      </c>
      <c r="H28" s="163"/>
      <c r="J28" s="662"/>
      <c r="K28" s="664"/>
      <c r="L28" s="38"/>
      <c r="M28" s="31"/>
      <c r="N28" s="13"/>
      <c r="O28" s="35">
        <f t="shared" si="7"/>
        <v>0</v>
      </c>
      <c r="P28" s="163"/>
      <c r="R28" s="662"/>
      <c r="S28" s="664"/>
      <c r="T28" s="38"/>
      <c r="U28" s="31"/>
      <c r="V28" s="13"/>
      <c r="W28" s="35">
        <f t="shared" si="10"/>
        <v>0</v>
      </c>
      <c r="X28" s="163"/>
      <c r="Z28" s="662"/>
      <c r="AA28" s="664"/>
      <c r="AB28" s="38"/>
      <c r="AC28" s="31"/>
      <c r="AD28" s="13"/>
      <c r="AE28" s="35">
        <f t="shared" si="8"/>
        <v>0</v>
      </c>
      <c r="AF28" s="163"/>
      <c r="AH28" s="662"/>
      <c r="AI28" s="664"/>
      <c r="AJ28" s="38"/>
      <c r="AK28" s="31"/>
      <c r="AL28" s="13"/>
      <c r="AM28" s="35">
        <f t="shared" si="11"/>
        <v>0</v>
      </c>
      <c r="AN28" s="163"/>
      <c r="AP28" s="662"/>
      <c r="AQ28" s="664"/>
      <c r="AR28" s="41"/>
      <c r="AS28" s="31"/>
      <c r="AT28" s="13"/>
      <c r="AU28" s="35">
        <f t="shared" si="3"/>
        <v>0</v>
      </c>
      <c r="AV28" s="163"/>
      <c r="AX28" s="662"/>
      <c r="AY28" s="664"/>
      <c r="AZ28" s="41"/>
      <c r="BA28" s="31"/>
      <c r="BB28" s="13"/>
      <c r="BC28" s="35">
        <f t="shared" si="4"/>
        <v>0</v>
      </c>
      <c r="BD28" s="163"/>
      <c r="BF28" s="662"/>
      <c r="BG28" s="664"/>
      <c r="BH28" s="41"/>
      <c r="BI28" s="31"/>
      <c r="BJ28" s="13"/>
      <c r="BK28" s="35">
        <f t="shared" si="5"/>
        <v>0</v>
      </c>
      <c r="BL28" s="163"/>
      <c r="BN28" s="662"/>
      <c r="BO28" s="664"/>
      <c r="BP28" s="38"/>
      <c r="BQ28" s="31"/>
      <c r="BR28" s="13"/>
      <c r="BS28" s="35">
        <f t="shared" si="9"/>
        <v>0</v>
      </c>
      <c r="BT28" s="163"/>
      <c r="BV28" s="662"/>
      <c r="BW28" s="664"/>
      <c r="BX28" s="38"/>
      <c r="BY28" s="31"/>
      <c r="BZ28" s="13"/>
      <c r="CA28" s="35">
        <f t="shared" si="6"/>
        <v>0</v>
      </c>
      <c r="CB28" s="44"/>
    </row>
    <row r="29" spans="2:80">
      <c r="B29" s="661"/>
      <c r="C29" s="663"/>
      <c r="D29" s="39"/>
      <c r="E29" s="32"/>
      <c r="F29" s="11"/>
      <c r="G29" s="23">
        <f t="shared" si="12"/>
        <v>0</v>
      </c>
      <c r="H29" s="164"/>
      <c r="J29" s="661"/>
      <c r="K29" s="663"/>
      <c r="L29" s="39"/>
      <c r="M29" s="32"/>
      <c r="N29" s="11"/>
      <c r="O29" s="23">
        <f t="shared" si="7"/>
        <v>0</v>
      </c>
      <c r="P29" s="164"/>
      <c r="R29" s="661"/>
      <c r="S29" s="663"/>
      <c r="T29" s="39"/>
      <c r="U29" s="32"/>
      <c r="V29" s="11"/>
      <c r="W29" s="23">
        <f t="shared" si="10"/>
        <v>0</v>
      </c>
      <c r="X29" s="164"/>
      <c r="Z29" s="661"/>
      <c r="AA29" s="663"/>
      <c r="AB29" s="39"/>
      <c r="AC29" s="32"/>
      <c r="AD29" s="11"/>
      <c r="AE29" s="23">
        <f t="shared" si="8"/>
        <v>0</v>
      </c>
      <c r="AF29" s="164"/>
      <c r="AH29" s="661"/>
      <c r="AI29" s="663"/>
      <c r="AJ29" s="39"/>
      <c r="AK29" s="32"/>
      <c r="AL29" s="11"/>
      <c r="AM29" s="23">
        <f t="shared" si="11"/>
        <v>0</v>
      </c>
      <c r="AN29" s="164"/>
      <c r="AP29" s="661"/>
      <c r="AQ29" s="663"/>
      <c r="AR29" s="42"/>
      <c r="AS29" s="32"/>
      <c r="AT29" s="11"/>
      <c r="AU29" s="23">
        <f t="shared" si="3"/>
        <v>0</v>
      </c>
      <c r="AV29" s="164"/>
      <c r="AX29" s="661"/>
      <c r="AY29" s="663"/>
      <c r="AZ29" s="42"/>
      <c r="BA29" s="32"/>
      <c r="BB29" s="11"/>
      <c r="BC29" s="23">
        <f t="shared" si="4"/>
        <v>0</v>
      </c>
      <c r="BD29" s="164"/>
      <c r="BF29" s="661"/>
      <c r="BG29" s="663"/>
      <c r="BH29" s="42"/>
      <c r="BI29" s="32"/>
      <c r="BJ29" s="11"/>
      <c r="BK29" s="23">
        <f t="shared" si="5"/>
        <v>0</v>
      </c>
      <c r="BL29" s="164"/>
      <c r="BN29" s="667" t="s">
        <v>667</v>
      </c>
      <c r="BO29" s="668" t="s">
        <v>666</v>
      </c>
      <c r="BP29" s="39"/>
      <c r="BQ29" s="32" t="s">
        <v>17</v>
      </c>
      <c r="BR29" s="29">
        <v>581.1</v>
      </c>
      <c r="BS29" s="23">
        <f t="shared" si="9"/>
        <v>0</v>
      </c>
      <c r="BT29" s="164" t="s">
        <v>663</v>
      </c>
      <c r="BV29" s="661"/>
      <c r="BW29" s="663"/>
      <c r="BX29" s="39"/>
      <c r="BY29" s="32"/>
      <c r="BZ29" s="11"/>
      <c r="CA29" s="23">
        <f t="shared" si="6"/>
        <v>0</v>
      </c>
      <c r="CB29" s="45"/>
    </row>
    <row r="30" spans="2:80">
      <c r="B30" s="662"/>
      <c r="C30" s="664"/>
      <c r="D30" s="38"/>
      <c r="E30" s="31"/>
      <c r="F30" s="13"/>
      <c r="G30" s="35">
        <f t="shared" si="12"/>
        <v>0</v>
      </c>
      <c r="H30" s="163"/>
      <c r="J30" s="662"/>
      <c r="K30" s="664"/>
      <c r="L30" s="38"/>
      <c r="M30" s="31"/>
      <c r="N30" s="13"/>
      <c r="O30" s="35">
        <f t="shared" si="7"/>
        <v>0</v>
      </c>
      <c r="P30" s="163"/>
      <c r="R30" s="662"/>
      <c r="S30" s="664"/>
      <c r="T30" s="38"/>
      <c r="U30" s="31"/>
      <c r="V30" s="13"/>
      <c r="W30" s="35">
        <f t="shared" si="10"/>
        <v>0</v>
      </c>
      <c r="X30" s="163"/>
      <c r="Z30" s="662"/>
      <c r="AA30" s="664"/>
      <c r="AB30" s="38"/>
      <c r="AC30" s="31"/>
      <c r="AD30" s="13"/>
      <c r="AE30" s="35">
        <f t="shared" si="8"/>
        <v>0</v>
      </c>
      <c r="AF30" s="163"/>
      <c r="AH30" s="662"/>
      <c r="AI30" s="664"/>
      <c r="AJ30" s="38"/>
      <c r="AK30" s="31"/>
      <c r="AL30" s="13"/>
      <c r="AM30" s="35">
        <f t="shared" si="11"/>
        <v>0</v>
      </c>
      <c r="AN30" s="163"/>
      <c r="AP30" s="662"/>
      <c r="AQ30" s="664"/>
      <c r="AR30" s="41"/>
      <c r="AS30" s="31"/>
      <c r="AT30" s="13"/>
      <c r="AU30" s="35">
        <f t="shared" si="3"/>
        <v>0</v>
      </c>
      <c r="AV30" s="163"/>
      <c r="AX30" s="662"/>
      <c r="AY30" s="664"/>
      <c r="AZ30" s="41"/>
      <c r="BA30" s="31"/>
      <c r="BB30" s="13"/>
      <c r="BC30" s="35">
        <f t="shared" si="4"/>
        <v>0</v>
      </c>
      <c r="BD30" s="163"/>
      <c r="BF30" s="662"/>
      <c r="BG30" s="664"/>
      <c r="BH30" s="41"/>
      <c r="BI30" s="31"/>
      <c r="BJ30" s="13"/>
      <c r="BK30" s="35">
        <f t="shared" si="5"/>
        <v>0</v>
      </c>
      <c r="BL30" s="163"/>
      <c r="BN30" s="662"/>
      <c r="BO30" s="664"/>
      <c r="BP30" s="38"/>
      <c r="BQ30" s="31"/>
      <c r="BR30" s="13"/>
      <c r="BS30" s="35">
        <f t="shared" si="9"/>
        <v>0</v>
      </c>
      <c r="BT30" s="163"/>
      <c r="BV30" s="662"/>
      <c r="BW30" s="664"/>
      <c r="BX30" s="38"/>
      <c r="BY30" s="31"/>
      <c r="BZ30" s="13"/>
      <c r="CA30" s="35">
        <f t="shared" si="6"/>
        <v>0</v>
      </c>
      <c r="CB30" s="44"/>
    </row>
    <row r="31" spans="2:80">
      <c r="B31" s="661"/>
      <c r="C31" s="663"/>
      <c r="D31" s="39"/>
      <c r="E31" s="32"/>
      <c r="F31" s="11"/>
      <c r="G31" s="23">
        <f t="shared" si="12"/>
        <v>0</v>
      </c>
      <c r="H31" s="164"/>
      <c r="J31" s="661"/>
      <c r="K31" s="663"/>
      <c r="L31" s="39"/>
      <c r="M31" s="32"/>
      <c r="N31" s="11"/>
      <c r="O31" s="23">
        <f t="shared" si="7"/>
        <v>0</v>
      </c>
      <c r="P31" s="164"/>
      <c r="R31" s="661"/>
      <c r="S31" s="663"/>
      <c r="T31" s="39"/>
      <c r="U31" s="32"/>
      <c r="V31" s="11"/>
      <c r="W31" s="23">
        <f t="shared" si="10"/>
        <v>0</v>
      </c>
      <c r="X31" s="164"/>
      <c r="Z31" s="661"/>
      <c r="AA31" s="663"/>
      <c r="AB31" s="39"/>
      <c r="AC31" s="32"/>
      <c r="AD31" s="11"/>
      <c r="AE31" s="23">
        <f t="shared" si="8"/>
        <v>0</v>
      </c>
      <c r="AF31" s="164"/>
      <c r="AH31" s="661"/>
      <c r="AI31" s="663"/>
      <c r="AJ31" s="39"/>
      <c r="AK31" s="32"/>
      <c r="AL31" s="11"/>
      <c r="AM31" s="23">
        <f t="shared" si="11"/>
        <v>0</v>
      </c>
      <c r="AN31" s="164"/>
      <c r="AP31" s="661"/>
      <c r="AQ31" s="663"/>
      <c r="AR31" s="42"/>
      <c r="AS31" s="32"/>
      <c r="AT31" s="11"/>
      <c r="AU31" s="23">
        <f t="shared" si="3"/>
        <v>0</v>
      </c>
      <c r="AV31" s="164"/>
      <c r="AX31" s="661"/>
      <c r="AY31" s="663"/>
      <c r="AZ31" s="42"/>
      <c r="BA31" s="32"/>
      <c r="BB31" s="11"/>
      <c r="BC31" s="23">
        <f t="shared" si="4"/>
        <v>0</v>
      </c>
      <c r="BD31" s="164"/>
      <c r="BF31" s="661"/>
      <c r="BG31" s="663"/>
      <c r="BH31" s="42"/>
      <c r="BI31" s="32"/>
      <c r="BJ31" s="11"/>
      <c r="BK31" s="23">
        <f t="shared" si="5"/>
        <v>0</v>
      </c>
      <c r="BL31" s="164"/>
      <c r="BN31" s="667" t="s">
        <v>668</v>
      </c>
      <c r="BO31" s="668" t="s">
        <v>639</v>
      </c>
      <c r="BP31" s="39"/>
      <c r="BQ31" s="32" t="s">
        <v>17</v>
      </c>
      <c r="BR31" s="29">
        <v>183.2</v>
      </c>
      <c r="BS31" s="23">
        <f t="shared" si="9"/>
        <v>0</v>
      </c>
      <c r="BT31" s="164" t="s">
        <v>664</v>
      </c>
      <c r="BV31" s="661"/>
      <c r="BW31" s="663"/>
      <c r="BX31" s="39"/>
      <c r="BY31" s="32"/>
      <c r="BZ31" s="11"/>
      <c r="CA31" s="23">
        <f t="shared" si="6"/>
        <v>0</v>
      </c>
      <c r="CB31" s="45"/>
    </row>
    <row r="32" spans="2:80">
      <c r="B32" s="662"/>
      <c r="C32" s="664"/>
      <c r="D32" s="38"/>
      <c r="E32" s="31"/>
      <c r="F32" s="13"/>
      <c r="G32" s="35">
        <f t="shared" si="12"/>
        <v>0</v>
      </c>
      <c r="H32" s="163"/>
      <c r="J32" s="662"/>
      <c r="K32" s="664"/>
      <c r="L32" s="38"/>
      <c r="M32" s="31"/>
      <c r="N32" s="13"/>
      <c r="O32" s="35">
        <f t="shared" si="7"/>
        <v>0</v>
      </c>
      <c r="P32" s="163"/>
      <c r="R32" s="662"/>
      <c r="S32" s="664"/>
      <c r="T32" s="38"/>
      <c r="U32" s="31"/>
      <c r="V32" s="13"/>
      <c r="W32" s="35">
        <f t="shared" si="10"/>
        <v>0</v>
      </c>
      <c r="X32" s="163"/>
      <c r="Z32" s="662"/>
      <c r="AA32" s="664"/>
      <c r="AB32" s="38"/>
      <c r="AC32" s="31"/>
      <c r="AD32" s="13"/>
      <c r="AE32" s="35">
        <f t="shared" si="8"/>
        <v>0</v>
      </c>
      <c r="AF32" s="163"/>
      <c r="AH32" s="662"/>
      <c r="AI32" s="664"/>
      <c r="AJ32" s="38"/>
      <c r="AK32" s="31"/>
      <c r="AL32" s="13"/>
      <c r="AM32" s="35">
        <f t="shared" si="11"/>
        <v>0</v>
      </c>
      <c r="AN32" s="163"/>
      <c r="AP32" s="662"/>
      <c r="AQ32" s="664"/>
      <c r="AR32" s="41"/>
      <c r="AS32" s="31"/>
      <c r="AT32" s="13"/>
      <c r="AU32" s="35">
        <f t="shared" si="3"/>
        <v>0</v>
      </c>
      <c r="AV32" s="163"/>
      <c r="AX32" s="662"/>
      <c r="AY32" s="664"/>
      <c r="AZ32" s="41"/>
      <c r="BA32" s="31"/>
      <c r="BB32" s="13"/>
      <c r="BC32" s="35">
        <f t="shared" si="4"/>
        <v>0</v>
      </c>
      <c r="BD32" s="163"/>
      <c r="BF32" s="662"/>
      <c r="BG32" s="664"/>
      <c r="BH32" s="41"/>
      <c r="BI32" s="31"/>
      <c r="BJ32" s="13"/>
      <c r="BK32" s="35">
        <f t="shared" si="5"/>
        <v>0</v>
      </c>
      <c r="BL32" s="163"/>
      <c r="BN32" s="662"/>
      <c r="BO32" s="664"/>
      <c r="BP32" s="38"/>
      <c r="BQ32" s="31"/>
      <c r="BR32" s="13"/>
      <c r="BS32" s="35">
        <f t="shared" si="9"/>
        <v>0</v>
      </c>
      <c r="BT32" s="163"/>
      <c r="BV32" s="662"/>
      <c r="BW32" s="664"/>
      <c r="BX32" s="38"/>
      <c r="BY32" s="31"/>
      <c r="BZ32" s="13"/>
      <c r="CA32" s="35">
        <f t="shared" si="6"/>
        <v>0</v>
      </c>
      <c r="CB32" s="44"/>
    </row>
    <row r="33" spans="2:80">
      <c r="B33" s="661"/>
      <c r="C33" s="663"/>
      <c r="D33" s="39"/>
      <c r="E33" s="32"/>
      <c r="F33" s="11"/>
      <c r="G33" s="23">
        <f t="shared" si="12"/>
        <v>0</v>
      </c>
      <c r="H33" s="164"/>
      <c r="J33" s="661"/>
      <c r="K33" s="663"/>
      <c r="L33" s="39"/>
      <c r="M33" s="32"/>
      <c r="N33" s="11"/>
      <c r="O33" s="23">
        <f t="shared" si="7"/>
        <v>0</v>
      </c>
      <c r="P33" s="164"/>
      <c r="R33" s="661"/>
      <c r="S33" s="663"/>
      <c r="T33" s="39"/>
      <c r="U33" s="32"/>
      <c r="V33" s="11"/>
      <c r="W33" s="23">
        <f t="shared" si="10"/>
        <v>0</v>
      </c>
      <c r="X33" s="164"/>
      <c r="Z33" s="661"/>
      <c r="AA33" s="663"/>
      <c r="AB33" s="39"/>
      <c r="AC33" s="32"/>
      <c r="AD33" s="11"/>
      <c r="AE33" s="23">
        <f t="shared" si="8"/>
        <v>0</v>
      </c>
      <c r="AF33" s="164"/>
      <c r="AH33" s="661"/>
      <c r="AI33" s="663"/>
      <c r="AJ33" s="39"/>
      <c r="AK33" s="32"/>
      <c r="AL33" s="11"/>
      <c r="AM33" s="23">
        <f t="shared" si="11"/>
        <v>0</v>
      </c>
      <c r="AN33" s="164"/>
      <c r="AP33" s="661"/>
      <c r="AQ33" s="663"/>
      <c r="AR33" s="42"/>
      <c r="AS33" s="32"/>
      <c r="AT33" s="11"/>
      <c r="AU33" s="23">
        <f t="shared" si="3"/>
        <v>0</v>
      </c>
      <c r="AV33" s="164"/>
      <c r="AX33" s="661"/>
      <c r="AY33" s="663"/>
      <c r="AZ33" s="42"/>
      <c r="BA33" s="32"/>
      <c r="BB33" s="11"/>
      <c r="BC33" s="23">
        <f t="shared" si="4"/>
        <v>0</v>
      </c>
      <c r="BD33" s="164"/>
      <c r="BF33" s="661"/>
      <c r="BG33" s="663"/>
      <c r="BH33" s="42"/>
      <c r="BI33" s="32"/>
      <c r="BJ33" s="11"/>
      <c r="BK33" s="23">
        <f t="shared" si="5"/>
        <v>0</v>
      </c>
      <c r="BL33" s="164"/>
      <c r="BN33" s="667" t="s">
        <v>669</v>
      </c>
      <c r="BO33" s="668" t="s">
        <v>919</v>
      </c>
      <c r="BP33" s="39"/>
      <c r="BQ33" s="32" t="s">
        <v>41</v>
      </c>
      <c r="BR33" s="11">
        <v>3050</v>
      </c>
      <c r="BS33" s="23">
        <f t="shared" si="9"/>
        <v>0</v>
      </c>
      <c r="BT33" s="164" t="s">
        <v>665</v>
      </c>
      <c r="BV33" s="661"/>
      <c r="BW33" s="663"/>
      <c r="BX33" s="39"/>
      <c r="BY33" s="32"/>
      <c r="BZ33" s="11"/>
      <c r="CA33" s="23">
        <f t="shared" si="6"/>
        <v>0</v>
      </c>
      <c r="CB33" s="45"/>
    </row>
    <row r="34" spans="2:80">
      <c r="B34" s="662"/>
      <c r="C34" s="664"/>
      <c r="D34" s="38"/>
      <c r="E34" s="31"/>
      <c r="F34" s="13"/>
      <c r="G34" s="35">
        <f t="shared" si="12"/>
        <v>0</v>
      </c>
      <c r="H34" s="163"/>
      <c r="J34" s="662"/>
      <c r="K34" s="664"/>
      <c r="L34" s="38"/>
      <c r="M34" s="31"/>
      <c r="N34" s="13"/>
      <c r="O34" s="35">
        <f t="shared" si="7"/>
        <v>0</v>
      </c>
      <c r="P34" s="163"/>
      <c r="R34" s="662"/>
      <c r="S34" s="664"/>
      <c r="T34" s="38"/>
      <c r="U34" s="31"/>
      <c r="V34" s="13"/>
      <c r="W34" s="35">
        <f t="shared" si="10"/>
        <v>0</v>
      </c>
      <c r="X34" s="163"/>
      <c r="Z34" s="662"/>
      <c r="AA34" s="664"/>
      <c r="AB34" s="38"/>
      <c r="AC34" s="31"/>
      <c r="AD34" s="13"/>
      <c r="AE34" s="35">
        <f t="shared" si="8"/>
        <v>0</v>
      </c>
      <c r="AF34" s="163"/>
      <c r="AH34" s="662"/>
      <c r="AI34" s="664"/>
      <c r="AJ34" s="38"/>
      <c r="AK34" s="31"/>
      <c r="AL34" s="13"/>
      <c r="AM34" s="35">
        <f t="shared" si="11"/>
        <v>0</v>
      </c>
      <c r="AN34" s="163"/>
      <c r="AP34" s="662"/>
      <c r="AQ34" s="664"/>
      <c r="AR34" s="41"/>
      <c r="AS34" s="31"/>
      <c r="AT34" s="13"/>
      <c r="AU34" s="35">
        <f t="shared" si="3"/>
        <v>0</v>
      </c>
      <c r="AV34" s="163"/>
      <c r="AX34" s="662"/>
      <c r="AY34" s="664"/>
      <c r="AZ34" s="41"/>
      <c r="BA34" s="31"/>
      <c r="BB34" s="13"/>
      <c r="BC34" s="35">
        <f t="shared" si="4"/>
        <v>0</v>
      </c>
      <c r="BD34" s="163"/>
      <c r="BF34" s="662"/>
      <c r="BG34" s="664"/>
      <c r="BH34" s="41"/>
      <c r="BI34" s="31"/>
      <c r="BJ34" s="13"/>
      <c r="BK34" s="35">
        <f t="shared" si="5"/>
        <v>0</v>
      </c>
      <c r="BL34" s="163"/>
      <c r="BN34" s="662"/>
      <c r="BO34" s="664"/>
      <c r="BP34" s="38"/>
      <c r="BQ34" s="31"/>
      <c r="BR34" s="13"/>
      <c r="BS34" s="35">
        <f t="shared" si="9"/>
        <v>0</v>
      </c>
      <c r="BT34" s="163"/>
      <c r="BV34" s="662"/>
      <c r="BW34" s="664"/>
      <c r="BX34" s="38"/>
      <c r="BY34" s="31"/>
      <c r="BZ34" s="13"/>
      <c r="CA34" s="35">
        <f t="shared" si="6"/>
        <v>0</v>
      </c>
      <c r="CB34" s="44"/>
    </row>
    <row r="35" spans="2:80">
      <c r="B35" s="661"/>
      <c r="C35" s="663"/>
      <c r="D35" s="39"/>
      <c r="E35" s="32"/>
      <c r="F35" s="11"/>
      <c r="G35" s="23">
        <f t="shared" si="12"/>
        <v>0</v>
      </c>
      <c r="H35" s="164"/>
      <c r="J35" s="661"/>
      <c r="K35" s="663"/>
      <c r="L35" s="39"/>
      <c r="M35" s="32"/>
      <c r="N35" s="11"/>
      <c r="O35" s="23">
        <f t="shared" si="7"/>
        <v>0</v>
      </c>
      <c r="P35" s="164"/>
      <c r="R35" s="661"/>
      <c r="S35" s="663"/>
      <c r="T35" s="39"/>
      <c r="U35" s="32"/>
      <c r="V35" s="11"/>
      <c r="W35" s="23">
        <f t="shared" si="10"/>
        <v>0</v>
      </c>
      <c r="X35" s="164"/>
      <c r="Z35" s="661"/>
      <c r="AA35" s="663"/>
      <c r="AB35" s="39"/>
      <c r="AC35" s="32"/>
      <c r="AD35" s="11"/>
      <c r="AE35" s="23">
        <f t="shared" si="8"/>
        <v>0</v>
      </c>
      <c r="AF35" s="164"/>
      <c r="AH35" s="661"/>
      <c r="AI35" s="663"/>
      <c r="AJ35" s="39"/>
      <c r="AK35" s="32"/>
      <c r="AL35" s="11"/>
      <c r="AM35" s="23">
        <f t="shared" si="11"/>
        <v>0</v>
      </c>
      <c r="AN35" s="164"/>
      <c r="AP35" s="661"/>
      <c r="AQ35" s="663"/>
      <c r="AR35" s="42"/>
      <c r="AS35" s="32"/>
      <c r="AT35" s="11"/>
      <c r="AU35" s="23">
        <f t="shared" si="3"/>
        <v>0</v>
      </c>
      <c r="AV35" s="164"/>
      <c r="AX35" s="661"/>
      <c r="AY35" s="663"/>
      <c r="AZ35" s="42"/>
      <c r="BA35" s="32"/>
      <c r="BB35" s="11"/>
      <c r="BC35" s="23">
        <f t="shared" si="4"/>
        <v>0</v>
      </c>
      <c r="BD35" s="164"/>
      <c r="BF35" s="661"/>
      <c r="BG35" s="663"/>
      <c r="BH35" s="42"/>
      <c r="BI35" s="32"/>
      <c r="BJ35" s="11"/>
      <c r="BK35" s="23">
        <f t="shared" si="5"/>
        <v>0</v>
      </c>
      <c r="BL35" s="164"/>
      <c r="BN35" s="667" t="s">
        <v>909</v>
      </c>
      <c r="BO35" s="668" t="s">
        <v>641</v>
      </c>
      <c r="BP35" s="39"/>
      <c r="BQ35" s="32" t="s">
        <v>41</v>
      </c>
      <c r="BR35" s="11">
        <v>2580</v>
      </c>
      <c r="BS35" s="23">
        <f t="shared" si="9"/>
        <v>0</v>
      </c>
      <c r="BT35" s="164"/>
      <c r="BV35" s="661"/>
      <c r="BW35" s="668"/>
      <c r="BX35" s="39"/>
      <c r="BY35" s="32"/>
      <c r="BZ35" s="11"/>
      <c r="CA35" s="23">
        <f t="shared" si="6"/>
        <v>0</v>
      </c>
      <c r="CB35" s="45"/>
    </row>
    <row r="36" spans="2:80">
      <c r="B36" s="662"/>
      <c r="C36" s="664"/>
      <c r="D36" s="38"/>
      <c r="E36" s="31"/>
      <c r="F36" s="13"/>
      <c r="G36" s="35">
        <f t="shared" si="12"/>
        <v>0</v>
      </c>
      <c r="H36" s="163"/>
      <c r="J36" s="662"/>
      <c r="K36" s="664"/>
      <c r="L36" s="38"/>
      <c r="M36" s="31"/>
      <c r="N36" s="13"/>
      <c r="O36" s="35">
        <f t="shared" si="7"/>
        <v>0</v>
      </c>
      <c r="P36" s="163"/>
      <c r="R36" s="662"/>
      <c r="S36" s="664"/>
      <c r="T36" s="38"/>
      <c r="U36" s="31"/>
      <c r="V36" s="13"/>
      <c r="W36" s="35">
        <f t="shared" si="10"/>
        <v>0</v>
      </c>
      <c r="X36" s="163"/>
      <c r="Z36" s="662"/>
      <c r="AA36" s="664"/>
      <c r="AB36" s="38"/>
      <c r="AC36" s="31"/>
      <c r="AD36" s="13"/>
      <c r="AE36" s="35">
        <f t="shared" si="8"/>
        <v>0</v>
      </c>
      <c r="AF36" s="163"/>
      <c r="AH36" s="662"/>
      <c r="AI36" s="664"/>
      <c r="AJ36" s="38"/>
      <c r="AK36" s="31"/>
      <c r="AL36" s="13"/>
      <c r="AM36" s="35">
        <f t="shared" si="11"/>
        <v>0</v>
      </c>
      <c r="AN36" s="163"/>
      <c r="AP36" s="662"/>
      <c r="AQ36" s="664"/>
      <c r="AR36" s="41"/>
      <c r="AS36" s="31"/>
      <c r="AT36" s="13"/>
      <c r="AU36" s="35">
        <f t="shared" si="3"/>
        <v>0</v>
      </c>
      <c r="AV36" s="163"/>
      <c r="AX36" s="662"/>
      <c r="AY36" s="664"/>
      <c r="AZ36" s="41"/>
      <c r="BA36" s="31"/>
      <c r="BB36" s="13"/>
      <c r="BC36" s="35">
        <f t="shared" si="4"/>
        <v>0</v>
      </c>
      <c r="BD36" s="163"/>
      <c r="BF36" s="662"/>
      <c r="BG36" s="664"/>
      <c r="BH36" s="41"/>
      <c r="BI36" s="31"/>
      <c r="BJ36" s="13"/>
      <c r="BK36" s="35">
        <f t="shared" si="5"/>
        <v>0</v>
      </c>
      <c r="BL36" s="163"/>
      <c r="BN36" s="662"/>
      <c r="BO36" s="664"/>
      <c r="BP36" s="38"/>
      <c r="BQ36" s="31"/>
      <c r="BR36" s="13"/>
      <c r="BS36" s="35">
        <f t="shared" si="9"/>
        <v>0</v>
      </c>
      <c r="BT36" s="163"/>
      <c r="BV36" s="662"/>
      <c r="BW36" s="664"/>
      <c r="BX36" s="38"/>
      <c r="BY36" s="31"/>
      <c r="BZ36" s="13"/>
      <c r="CA36" s="35">
        <f t="shared" si="6"/>
        <v>0</v>
      </c>
      <c r="CB36" s="44"/>
    </row>
    <row r="37" spans="2:80">
      <c r="B37" s="661"/>
      <c r="C37" s="663"/>
      <c r="D37" s="39"/>
      <c r="E37" s="32"/>
      <c r="F37" s="11"/>
      <c r="G37" s="23">
        <f t="shared" si="12"/>
        <v>0</v>
      </c>
      <c r="H37" s="164"/>
      <c r="J37" s="661"/>
      <c r="K37" s="663"/>
      <c r="L37" s="39"/>
      <c r="M37" s="32"/>
      <c r="N37" s="11"/>
      <c r="O37" s="23">
        <f t="shared" si="7"/>
        <v>0</v>
      </c>
      <c r="P37" s="164"/>
      <c r="R37" s="661"/>
      <c r="S37" s="663"/>
      <c r="T37" s="39"/>
      <c r="U37" s="32"/>
      <c r="V37" s="11"/>
      <c r="W37" s="23">
        <f t="shared" si="10"/>
        <v>0</v>
      </c>
      <c r="X37" s="164"/>
      <c r="Z37" s="661"/>
      <c r="AA37" s="663"/>
      <c r="AB37" s="39"/>
      <c r="AC37" s="32"/>
      <c r="AD37" s="11"/>
      <c r="AE37" s="23">
        <f t="shared" si="8"/>
        <v>0</v>
      </c>
      <c r="AF37" s="164"/>
      <c r="AH37" s="661"/>
      <c r="AI37" s="663"/>
      <c r="AJ37" s="39"/>
      <c r="AK37" s="32"/>
      <c r="AL37" s="11"/>
      <c r="AM37" s="23">
        <f t="shared" si="11"/>
        <v>0</v>
      </c>
      <c r="AN37" s="164"/>
      <c r="AP37" s="661"/>
      <c r="AQ37" s="663"/>
      <c r="AR37" s="42"/>
      <c r="AS37" s="32"/>
      <c r="AT37" s="11"/>
      <c r="AU37" s="23">
        <f t="shared" si="3"/>
        <v>0</v>
      </c>
      <c r="AV37" s="164"/>
      <c r="AX37" s="661"/>
      <c r="AY37" s="663"/>
      <c r="AZ37" s="42"/>
      <c r="BA37" s="32"/>
      <c r="BB37" s="11"/>
      <c r="BC37" s="23">
        <f t="shared" si="4"/>
        <v>0</v>
      </c>
      <c r="BD37" s="164"/>
      <c r="BF37" s="661"/>
      <c r="BG37" s="663"/>
      <c r="BH37" s="42"/>
      <c r="BI37" s="32"/>
      <c r="BJ37" s="11"/>
      <c r="BK37" s="23">
        <f t="shared" si="5"/>
        <v>0</v>
      </c>
      <c r="BL37" s="164"/>
      <c r="BN37" s="667" t="s">
        <v>859</v>
      </c>
      <c r="BO37" s="684" t="s">
        <v>784</v>
      </c>
      <c r="BP37" s="39"/>
      <c r="BQ37" s="32" t="s">
        <v>40</v>
      </c>
      <c r="BR37" s="11">
        <v>2716</v>
      </c>
      <c r="BS37" s="23">
        <f t="shared" si="9"/>
        <v>0</v>
      </c>
      <c r="BT37" s="164" t="s">
        <v>670</v>
      </c>
      <c r="BV37" s="661"/>
      <c r="BW37" s="663"/>
      <c r="BX37" s="39"/>
      <c r="BY37" s="32"/>
      <c r="BZ37" s="11"/>
      <c r="CA37" s="23">
        <f t="shared" si="6"/>
        <v>0</v>
      </c>
      <c r="CB37" s="45"/>
    </row>
    <row r="38" spans="2:80">
      <c r="B38" s="662"/>
      <c r="C38" s="664"/>
      <c r="D38" s="38"/>
      <c r="E38" s="31"/>
      <c r="F38" s="13"/>
      <c r="G38" s="35">
        <f t="shared" si="12"/>
        <v>0</v>
      </c>
      <c r="H38" s="163"/>
      <c r="J38" s="662"/>
      <c r="K38" s="664"/>
      <c r="L38" s="38"/>
      <c r="M38" s="31"/>
      <c r="N38" s="13"/>
      <c r="O38" s="35">
        <f t="shared" si="7"/>
        <v>0</v>
      </c>
      <c r="P38" s="163"/>
      <c r="R38" s="662"/>
      <c r="S38" s="664"/>
      <c r="T38" s="38"/>
      <c r="U38" s="31"/>
      <c r="V38" s="13"/>
      <c r="W38" s="35">
        <f t="shared" si="10"/>
        <v>0</v>
      </c>
      <c r="X38" s="163"/>
      <c r="Z38" s="662"/>
      <c r="AA38" s="664"/>
      <c r="AB38" s="38"/>
      <c r="AC38" s="31"/>
      <c r="AD38" s="13"/>
      <c r="AE38" s="35">
        <f t="shared" si="8"/>
        <v>0</v>
      </c>
      <c r="AF38" s="163"/>
      <c r="AH38" s="662"/>
      <c r="AI38" s="664"/>
      <c r="AJ38" s="38"/>
      <c r="AK38" s="31"/>
      <c r="AL38" s="13"/>
      <c r="AM38" s="35">
        <f t="shared" si="11"/>
        <v>0</v>
      </c>
      <c r="AN38" s="163"/>
      <c r="AP38" s="662"/>
      <c r="AQ38" s="664"/>
      <c r="AR38" s="41"/>
      <c r="AS38" s="31"/>
      <c r="AT38" s="13"/>
      <c r="AU38" s="35">
        <f t="shared" si="3"/>
        <v>0</v>
      </c>
      <c r="AV38" s="163"/>
      <c r="AX38" s="662"/>
      <c r="AY38" s="664"/>
      <c r="AZ38" s="41"/>
      <c r="BA38" s="31"/>
      <c r="BB38" s="13"/>
      <c r="BC38" s="35">
        <f t="shared" si="4"/>
        <v>0</v>
      </c>
      <c r="BD38" s="163"/>
      <c r="BF38" s="662"/>
      <c r="BG38" s="664"/>
      <c r="BH38" s="41"/>
      <c r="BI38" s="31"/>
      <c r="BJ38" s="13"/>
      <c r="BK38" s="35">
        <f t="shared" si="5"/>
        <v>0</v>
      </c>
      <c r="BL38" s="163"/>
      <c r="BN38" s="662"/>
      <c r="BO38" s="685"/>
      <c r="BP38" s="38"/>
      <c r="BQ38" s="31"/>
      <c r="BR38" s="13"/>
      <c r="BS38" s="35">
        <f t="shared" si="9"/>
        <v>0</v>
      </c>
      <c r="BT38" s="163"/>
      <c r="BV38" s="662"/>
      <c r="BW38" s="664"/>
      <c r="BX38" s="38"/>
      <c r="BY38" s="31"/>
      <c r="BZ38" s="13"/>
      <c r="CA38" s="35">
        <f t="shared" si="6"/>
        <v>0</v>
      </c>
      <c r="CB38" s="44"/>
    </row>
    <row r="39" spans="2:80">
      <c r="B39" s="661"/>
      <c r="C39" s="663"/>
      <c r="D39" s="39"/>
      <c r="E39" s="32"/>
      <c r="F39" s="11"/>
      <c r="G39" s="23">
        <f t="shared" si="12"/>
        <v>0</v>
      </c>
      <c r="H39" s="164"/>
      <c r="J39" s="661"/>
      <c r="K39" s="663"/>
      <c r="L39" s="39"/>
      <c r="M39" s="32"/>
      <c r="N39" s="11"/>
      <c r="O39" s="23">
        <f t="shared" si="7"/>
        <v>0</v>
      </c>
      <c r="P39" s="164"/>
      <c r="R39" s="661"/>
      <c r="S39" s="663"/>
      <c r="T39" s="39"/>
      <c r="U39" s="32"/>
      <c r="V39" s="11"/>
      <c r="W39" s="23">
        <f t="shared" si="10"/>
        <v>0</v>
      </c>
      <c r="X39" s="164"/>
      <c r="Z39" s="661"/>
      <c r="AA39" s="663"/>
      <c r="AB39" s="39"/>
      <c r="AC39" s="32"/>
      <c r="AD39" s="11"/>
      <c r="AE39" s="23">
        <f t="shared" si="8"/>
        <v>0</v>
      </c>
      <c r="AF39" s="164"/>
      <c r="AH39" s="661"/>
      <c r="AI39" s="663"/>
      <c r="AJ39" s="39"/>
      <c r="AK39" s="32"/>
      <c r="AL39" s="11"/>
      <c r="AM39" s="23">
        <f t="shared" si="11"/>
        <v>0</v>
      </c>
      <c r="AN39" s="164"/>
      <c r="AP39" s="661"/>
      <c r="AQ39" s="663"/>
      <c r="AR39" s="42"/>
      <c r="AS39" s="32"/>
      <c r="AT39" s="11"/>
      <c r="AU39" s="23">
        <f t="shared" si="3"/>
        <v>0</v>
      </c>
      <c r="AV39" s="164"/>
      <c r="AX39" s="661"/>
      <c r="AY39" s="663"/>
      <c r="AZ39" s="42"/>
      <c r="BA39" s="32"/>
      <c r="BB39" s="11"/>
      <c r="BC39" s="23">
        <f t="shared" si="4"/>
        <v>0</v>
      </c>
      <c r="BD39" s="164"/>
      <c r="BF39" s="661"/>
      <c r="BG39" s="663"/>
      <c r="BH39" s="42"/>
      <c r="BI39" s="32"/>
      <c r="BJ39" s="11"/>
      <c r="BK39" s="23">
        <f t="shared" si="5"/>
        <v>0</v>
      </c>
      <c r="BL39" s="164"/>
      <c r="BN39" s="667" t="s">
        <v>783</v>
      </c>
      <c r="BO39" s="663" t="s">
        <v>642</v>
      </c>
      <c r="BP39" s="39"/>
      <c r="BQ39" s="32" t="s">
        <v>40</v>
      </c>
      <c r="BR39" s="11">
        <v>1440</v>
      </c>
      <c r="BS39" s="23">
        <f t="shared" si="9"/>
        <v>0</v>
      </c>
      <c r="BT39" s="164" t="s">
        <v>850</v>
      </c>
      <c r="BV39" s="661"/>
      <c r="BW39" s="663"/>
      <c r="BX39" s="39"/>
      <c r="BY39" s="32"/>
      <c r="BZ39" s="11"/>
      <c r="CA39" s="23">
        <f t="shared" si="6"/>
        <v>0</v>
      </c>
      <c r="CB39" s="45"/>
    </row>
    <row r="40" spans="2:80">
      <c r="B40" s="662"/>
      <c r="C40" s="664"/>
      <c r="D40" s="38"/>
      <c r="E40" s="31"/>
      <c r="F40" s="13"/>
      <c r="G40" s="35">
        <f t="shared" si="12"/>
        <v>0</v>
      </c>
      <c r="H40" s="163"/>
      <c r="J40" s="662"/>
      <c r="K40" s="664"/>
      <c r="L40" s="38"/>
      <c r="M40" s="31"/>
      <c r="N40" s="13"/>
      <c r="O40" s="35">
        <f t="shared" si="7"/>
        <v>0</v>
      </c>
      <c r="P40" s="163"/>
      <c r="R40" s="662"/>
      <c r="S40" s="664"/>
      <c r="T40" s="38"/>
      <c r="U40" s="31"/>
      <c r="V40" s="13"/>
      <c r="W40" s="35">
        <f t="shared" si="10"/>
        <v>0</v>
      </c>
      <c r="X40" s="163"/>
      <c r="Z40" s="662"/>
      <c r="AA40" s="664"/>
      <c r="AB40" s="38"/>
      <c r="AC40" s="31"/>
      <c r="AD40" s="13"/>
      <c r="AE40" s="35">
        <f t="shared" si="8"/>
        <v>0</v>
      </c>
      <c r="AF40" s="163"/>
      <c r="AH40" s="662"/>
      <c r="AI40" s="664"/>
      <c r="AJ40" s="38"/>
      <c r="AK40" s="31"/>
      <c r="AL40" s="13"/>
      <c r="AM40" s="35">
        <f t="shared" si="11"/>
        <v>0</v>
      </c>
      <c r="AN40" s="163"/>
      <c r="AP40" s="662"/>
      <c r="AQ40" s="664"/>
      <c r="AR40" s="41"/>
      <c r="AS40" s="31"/>
      <c r="AT40" s="13"/>
      <c r="AU40" s="35">
        <f t="shared" si="3"/>
        <v>0</v>
      </c>
      <c r="AV40" s="163"/>
      <c r="AX40" s="662"/>
      <c r="AY40" s="664"/>
      <c r="AZ40" s="41"/>
      <c r="BA40" s="31"/>
      <c r="BB40" s="13"/>
      <c r="BC40" s="35">
        <f t="shared" si="4"/>
        <v>0</v>
      </c>
      <c r="BD40" s="163"/>
      <c r="BF40" s="662"/>
      <c r="BG40" s="664"/>
      <c r="BH40" s="41"/>
      <c r="BI40" s="31"/>
      <c r="BJ40" s="13"/>
      <c r="BK40" s="35">
        <f t="shared" si="5"/>
        <v>0</v>
      </c>
      <c r="BL40" s="163"/>
      <c r="BN40" s="662"/>
      <c r="BO40" s="664"/>
      <c r="BP40" s="38"/>
      <c r="BQ40" s="31"/>
      <c r="BR40" s="13"/>
      <c r="BS40" s="35">
        <f t="shared" si="9"/>
        <v>0</v>
      </c>
      <c r="BT40" s="163"/>
      <c r="BV40" s="662"/>
      <c r="BW40" s="664"/>
      <c r="BX40" s="38"/>
      <c r="BY40" s="31"/>
      <c r="BZ40" s="13"/>
      <c r="CA40" s="35">
        <f t="shared" si="6"/>
        <v>0</v>
      </c>
      <c r="CB40" s="44"/>
    </row>
    <row r="41" spans="2:80">
      <c r="B41" s="661"/>
      <c r="C41" s="663"/>
      <c r="D41" s="39"/>
      <c r="E41" s="32"/>
      <c r="F41" s="11"/>
      <c r="G41" s="23">
        <f t="shared" si="12"/>
        <v>0</v>
      </c>
      <c r="H41" s="164"/>
      <c r="J41" s="661"/>
      <c r="K41" s="663"/>
      <c r="L41" s="39"/>
      <c r="M41" s="32"/>
      <c r="N41" s="11"/>
      <c r="O41" s="23">
        <f t="shared" si="7"/>
        <v>0</v>
      </c>
      <c r="P41" s="164"/>
      <c r="R41" s="661"/>
      <c r="S41" s="663"/>
      <c r="T41" s="39"/>
      <c r="U41" s="32"/>
      <c r="V41" s="11"/>
      <c r="W41" s="23">
        <f t="shared" si="10"/>
        <v>0</v>
      </c>
      <c r="X41" s="164"/>
      <c r="Z41" s="661"/>
      <c r="AA41" s="663"/>
      <c r="AB41" s="39"/>
      <c r="AC41" s="32"/>
      <c r="AD41" s="11"/>
      <c r="AE41" s="23">
        <f t="shared" si="8"/>
        <v>0</v>
      </c>
      <c r="AF41" s="164"/>
      <c r="AH41" s="661"/>
      <c r="AI41" s="663"/>
      <c r="AJ41" s="39"/>
      <c r="AK41" s="32"/>
      <c r="AL41" s="11"/>
      <c r="AM41" s="23">
        <f t="shared" si="11"/>
        <v>0</v>
      </c>
      <c r="AN41" s="164"/>
      <c r="AP41" s="661"/>
      <c r="AQ41" s="663"/>
      <c r="AR41" s="42"/>
      <c r="AS41" s="32"/>
      <c r="AT41" s="11"/>
      <c r="AU41" s="23">
        <f t="shared" si="3"/>
        <v>0</v>
      </c>
      <c r="AV41" s="164"/>
      <c r="AX41" s="661"/>
      <c r="AY41" s="663"/>
      <c r="AZ41" s="42"/>
      <c r="BA41" s="32"/>
      <c r="BB41" s="11"/>
      <c r="BC41" s="23">
        <f t="shared" si="4"/>
        <v>0</v>
      </c>
      <c r="BD41" s="164"/>
      <c r="BF41" s="661"/>
      <c r="BG41" s="663"/>
      <c r="BH41" s="42"/>
      <c r="BI41" s="32"/>
      <c r="BJ41" s="11"/>
      <c r="BK41" s="23">
        <f t="shared" si="5"/>
        <v>0</v>
      </c>
      <c r="BL41" s="164"/>
      <c r="BN41" s="667" t="s">
        <v>857</v>
      </c>
      <c r="BO41" s="663" t="s">
        <v>643</v>
      </c>
      <c r="BP41" s="39"/>
      <c r="BQ41" s="32" t="s">
        <v>40</v>
      </c>
      <c r="BR41" s="11">
        <v>1189</v>
      </c>
      <c r="BS41" s="23">
        <f t="shared" si="9"/>
        <v>0</v>
      </c>
      <c r="BT41" s="164" t="s">
        <v>851</v>
      </c>
      <c r="BV41" s="661"/>
      <c r="BW41" s="663"/>
      <c r="BX41" s="39"/>
      <c r="BY41" s="32"/>
      <c r="BZ41" s="11"/>
      <c r="CA41" s="23">
        <f t="shared" si="6"/>
        <v>0</v>
      </c>
      <c r="CB41" s="45"/>
    </row>
    <row r="42" spans="2:80">
      <c r="B42" s="662"/>
      <c r="C42" s="664"/>
      <c r="D42" s="38"/>
      <c r="E42" s="31"/>
      <c r="F42" s="13"/>
      <c r="G42" s="35">
        <f t="shared" si="12"/>
        <v>0</v>
      </c>
      <c r="H42" s="163"/>
      <c r="J42" s="662"/>
      <c r="K42" s="664"/>
      <c r="L42" s="38"/>
      <c r="M42" s="31"/>
      <c r="N42" s="13"/>
      <c r="O42" s="35">
        <f t="shared" si="7"/>
        <v>0</v>
      </c>
      <c r="P42" s="163"/>
      <c r="R42" s="662"/>
      <c r="S42" s="664"/>
      <c r="T42" s="38"/>
      <c r="U42" s="31"/>
      <c r="V42" s="13"/>
      <c r="W42" s="35">
        <f t="shared" si="10"/>
        <v>0</v>
      </c>
      <c r="X42" s="163"/>
      <c r="Z42" s="662"/>
      <c r="AA42" s="664"/>
      <c r="AB42" s="38"/>
      <c r="AC42" s="31"/>
      <c r="AD42" s="13"/>
      <c r="AE42" s="35">
        <f t="shared" si="8"/>
        <v>0</v>
      </c>
      <c r="AF42" s="163"/>
      <c r="AH42" s="662"/>
      <c r="AI42" s="664"/>
      <c r="AJ42" s="38"/>
      <c r="AK42" s="31"/>
      <c r="AL42" s="13"/>
      <c r="AM42" s="35">
        <f t="shared" si="11"/>
        <v>0</v>
      </c>
      <c r="AN42" s="163"/>
      <c r="AP42" s="662"/>
      <c r="AQ42" s="664"/>
      <c r="AR42" s="41"/>
      <c r="AS42" s="31"/>
      <c r="AT42" s="13"/>
      <c r="AU42" s="35">
        <f t="shared" si="3"/>
        <v>0</v>
      </c>
      <c r="AV42" s="163"/>
      <c r="AX42" s="662"/>
      <c r="AY42" s="664"/>
      <c r="AZ42" s="41"/>
      <c r="BA42" s="31"/>
      <c r="BB42" s="13"/>
      <c r="BC42" s="35">
        <f t="shared" si="4"/>
        <v>0</v>
      </c>
      <c r="BD42" s="163"/>
      <c r="BF42" s="662"/>
      <c r="BG42" s="664"/>
      <c r="BH42" s="41"/>
      <c r="BI42" s="31"/>
      <c r="BJ42" s="13"/>
      <c r="BK42" s="35">
        <f t="shared" si="5"/>
        <v>0</v>
      </c>
      <c r="BL42" s="163"/>
      <c r="BN42" s="662"/>
      <c r="BO42" s="664"/>
      <c r="BP42" s="38"/>
      <c r="BQ42" s="31"/>
      <c r="BR42" s="13"/>
      <c r="BS42" s="35">
        <f t="shared" si="9"/>
        <v>0</v>
      </c>
      <c r="BT42" s="163"/>
      <c r="BV42" s="662"/>
      <c r="BW42" s="664"/>
      <c r="BX42" s="38"/>
      <c r="BY42" s="31"/>
      <c r="BZ42" s="13"/>
      <c r="CA42" s="35">
        <f t="shared" si="6"/>
        <v>0</v>
      </c>
      <c r="CB42" s="44"/>
    </row>
    <row r="43" spans="2:80">
      <c r="B43" s="661"/>
      <c r="C43" s="663"/>
      <c r="D43" s="39"/>
      <c r="E43" s="32"/>
      <c r="F43" s="11"/>
      <c r="G43" s="23">
        <f t="shared" si="12"/>
        <v>0</v>
      </c>
      <c r="H43" s="164"/>
      <c r="J43" s="661"/>
      <c r="K43" s="663"/>
      <c r="L43" s="39"/>
      <c r="M43" s="32"/>
      <c r="N43" s="11"/>
      <c r="O43" s="23">
        <f t="shared" si="7"/>
        <v>0</v>
      </c>
      <c r="P43" s="164"/>
      <c r="R43" s="661"/>
      <c r="S43" s="663"/>
      <c r="T43" s="39"/>
      <c r="U43" s="32"/>
      <c r="V43" s="11"/>
      <c r="W43" s="23">
        <f t="shared" si="10"/>
        <v>0</v>
      </c>
      <c r="X43" s="164"/>
      <c r="Z43" s="661"/>
      <c r="AA43" s="663"/>
      <c r="AB43" s="39"/>
      <c r="AC43" s="32"/>
      <c r="AD43" s="11"/>
      <c r="AE43" s="23">
        <f t="shared" si="8"/>
        <v>0</v>
      </c>
      <c r="AF43" s="164"/>
      <c r="AH43" s="661"/>
      <c r="AI43" s="663"/>
      <c r="AJ43" s="39"/>
      <c r="AK43" s="32"/>
      <c r="AL43" s="11"/>
      <c r="AM43" s="23">
        <f t="shared" si="11"/>
        <v>0</v>
      </c>
      <c r="AN43" s="164"/>
      <c r="AP43" s="661"/>
      <c r="AQ43" s="663"/>
      <c r="AR43" s="42"/>
      <c r="AS43" s="32"/>
      <c r="AT43" s="11"/>
      <c r="AU43" s="23">
        <f t="shared" si="3"/>
        <v>0</v>
      </c>
      <c r="AV43" s="164"/>
      <c r="AX43" s="661"/>
      <c r="AY43" s="663"/>
      <c r="AZ43" s="42"/>
      <c r="BA43" s="32"/>
      <c r="BB43" s="11"/>
      <c r="BC43" s="23">
        <f t="shared" si="4"/>
        <v>0</v>
      </c>
      <c r="BD43" s="164"/>
      <c r="BF43" s="661"/>
      <c r="BG43" s="663"/>
      <c r="BH43" s="42"/>
      <c r="BI43" s="32"/>
      <c r="BJ43" s="11"/>
      <c r="BK43" s="23">
        <f t="shared" si="5"/>
        <v>0</v>
      </c>
      <c r="BL43" s="164"/>
      <c r="BN43" s="661" t="s">
        <v>824</v>
      </c>
      <c r="BO43" s="663" t="s">
        <v>827</v>
      </c>
      <c r="BP43" s="39"/>
      <c r="BQ43" s="32" t="s">
        <v>770</v>
      </c>
      <c r="BR43" s="11">
        <v>9781</v>
      </c>
      <c r="BS43" s="23">
        <f t="shared" si="9"/>
        <v>0</v>
      </c>
      <c r="BT43" s="164" t="s">
        <v>853</v>
      </c>
      <c r="BV43" s="661"/>
      <c r="BW43" s="668"/>
      <c r="BX43" s="39"/>
      <c r="BY43" s="32"/>
      <c r="BZ43" s="11"/>
      <c r="CA43" s="23">
        <f t="shared" si="6"/>
        <v>0</v>
      </c>
      <c r="CB43" s="45"/>
    </row>
    <row r="44" spans="2:80">
      <c r="B44" s="662"/>
      <c r="C44" s="664"/>
      <c r="D44" s="38"/>
      <c r="E44" s="31"/>
      <c r="F44" s="13"/>
      <c r="G44" s="35">
        <f t="shared" si="12"/>
        <v>0</v>
      </c>
      <c r="H44" s="163"/>
      <c r="J44" s="662"/>
      <c r="K44" s="664"/>
      <c r="L44" s="38"/>
      <c r="M44" s="31"/>
      <c r="N44" s="13"/>
      <c r="O44" s="35">
        <f t="shared" si="7"/>
        <v>0</v>
      </c>
      <c r="P44" s="163"/>
      <c r="R44" s="662"/>
      <c r="S44" s="664"/>
      <c r="T44" s="38"/>
      <c r="U44" s="31"/>
      <c r="V44" s="13"/>
      <c r="W44" s="35">
        <f t="shared" si="10"/>
        <v>0</v>
      </c>
      <c r="X44" s="163"/>
      <c r="Z44" s="662"/>
      <c r="AA44" s="664"/>
      <c r="AB44" s="38"/>
      <c r="AC44" s="31"/>
      <c r="AD44" s="13"/>
      <c r="AE44" s="35">
        <f t="shared" si="8"/>
        <v>0</v>
      </c>
      <c r="AF44" s="163"/>
      <c r="AH44" s="662"/>
      <c r="AI44" s="664"/>
      <c r="AJ44" s="38"/>
      <c r="AK44" s="31"/>
      <c r="AL44" s="13"/>
      <c r="AM44" s="35">
        <f t="shared" si="11"/>
        <v>0</v>
      </c>
      <c r="AN44" s="163"/>
      <c r="AP44" s="662"/>
      <c r="AQ44" s="664"/>
      <c r="AR44" s="41"/>
      <c r="AS44" s="31"/>
      <c r="AT44" s="13"/>
      <c r="AU44" s="35">
        <f t="shared" si="3"/>
        <v>0</v>
      </c>
      <c r="AV44" s="163"/>
      <c r="AX44" s="662"/>
      <c r="AY44" s="664"/>
      <c r="AZ44" s="41"/>
      <c r="BA44" s="31"/>
      <c r="BB44" s="13"/>
      <c r="BC44" s="35">
        <f t="shared" si="4"/>
        <v>0</v>
      </c>
      <c r="BD44" s="163"/>
      <c r="BF44" s="662"/>
      <c r="BG44" s="664"/>
      <c r="BH44" s="41"/>
      <c r="BI44" s="31"/>
      <c r="BJ44" s="13"/>
      <c r="BK44" s="35">
        <f t="shared" si="5"/>
        <v>0</v>
      </c>
      <c r="BL44" s="163"/>
      <c r="BN44" s="662"/>
      <c r="BO44" s="664"/>
      <c r="BP44" s="38"/>
      <c r="BQ44" s="31"/>
      <c r="BR44" s="13"/>
      <c r="BS44" s="35">
        <f t="shared" si="9"/>
        <v>0</v>
      </c>
      <c r="BT44" s="163"/>
      <c r="BV44" s="662"/>
      <c r="BW44" s="664"/>
      <c r="BX44" s="38"/>
      <c r="BY44" s="31"/>
      <c r="BZ44" s="13"/>
      <c r="CA44" s="35">
        <f t="shared" si="6"/>
        <v>0</v>
      </c>
      <c r="CB44" s="44"/>
    </row>
    <row r="45" spans="2:80" ht="18.75" customHeight="1">
      <c r="B45" s="661"/>
      <c r="C45" s="663"/>
      <c r="D45" s="39"/>
      <c r="E45" s="32"/>
      <c r="F45" s="11"/>
      <c r="G45" s="23">
        <f t="shared" si="12"/>
        <v>0</v>
      </c>
      <c r="H45" s="164"/>
      <c r="J45" s="667" t="s">
        <v>256</v>
      </c>
      <c r="K45" s="663"/>
      <c r="L45" s="133">
        <f>+IF(N45&gt;0,0.015,0)</f>
        <v>0</v>
      </c>
      <c r="M45" s="32"/>
      <c r="N45" s="11">
        <f>+SUM(O5,O7,O9,O11,O13,O15,O17,O19,O21,O23,O25,O27,O29,O31,O33,O35,O37,O39,O41,O43,)</f>
        <v>0</v>
      </c>
      <c r="O45" s="23">
        <f t="shared" si="7"/>
        <v>0</v>
      </c>
      <c r="P45" s="45" t="s">
        <v>248</v>
      </c>
      <c r="R45" s="667" t="s">
        <v>257</v>
      </c>
      <c r="S45" s="663"/>
      <c r="T45" s="133">
        <f>+IF(V45&gt;0,0.2,0)</f>
        <v>0</v>
      </c>
      <c r="U45" s="32"/>
      <c r="V45" s="11">
        <f>+SUM(W5,W7,W9,W11,W13,W15,W17,W19,W21,W23,W25,W27,W29,W31,W33,W35,W37,W39,W41,W43,)</f>
        <v>0</v>
      </c>
      <c r="W45" s="23">
        <f t="shared" si="10"/>
        <v>0</v>
      </c>
      <c r="X45" s="45" t="s">
        <v>248</v>
      </c>
      <c r="Z45" s="661"/>
      <c r="AA45" s="663"/>
      <c r="AB45" s="39"/>
      <c r="AC45" s="32"/>
      <c r="AD45" s="11"/>
      <c r="AE45" s="23">
        <f t="shared" si="8"/>
        <v>0</v>
      </c>
      <c r="AF45" s="164"/>
      <c r="AH45" s="661"/>
      <c r="AI45" s="663"/>
      <c r="AJ45" s="39"/>
      <c r="AK45" s="32"/>
      <c r="AL45" s="11"/>
      <c r="AM45" s="23">
        <f t="shared" si="11"/>
        <v>0</v>
      </c>
      <c r="AN45" s="164"/>
      <c r="AP45" s="661"/>
      <c r="AQ45" s="663"/>
      <c r="AR45" s="42"/>
      <c r="AS45" s="32"/>
      <c r="AT45" s="11"/>
      <c r="AU45" s="23">
        <f t="shared" si="3"/>
        <v>0</v>
      </c>
      <c r="AV45" s="164"/>
      <c r="AX45" s="661"/>
      <c r="AY45" s="663"/>
      <c r="AZ45" s="42"/>
      <c r="BA45" s="32"/>
      <c r="BB45" s="11"/>
      <c r="BC45" s="23">
        <f t="shared" si="4"/>
        <v>0</v>
      </c>
      <c r="BD45" s="164"/>
      <c r="BF45" s="661"/>
      <c r="BG45" s="663"/>
      <c r="BH45" s="42"/>
      <c r="BI45" s="32"/>
      <c r="BJ45" s="11"/>
      <c r="BK45" s="23">
        <f t="shared" si="5"/>
        <v>0</v>
      </c>
      <c r="BL45" s="164"/>
      <c r="BN45" s="661" t="s">
        <v>825</v>
      </c>
      <c r="BO45" s="663" t="s">
        <v>827</v>
      </c>
      <c r="BP45" s="39"/>
      <c r="BQ45" s="32" t="s">
        <v>770</v>
      </c>
      <c r="BR45" s="11">
        <v>24836</v>
      </c>
      <c r="BS45" s="23">
        <f t="shared" si="9"/>
        <v>0</v>
      </c>
      <c r="BT45" s="164" t="s">
        <v>854</v>
      </c>
      <c r="BV45" s="661"/>
      <c r="BW45" s="663"/>
      <c r="BX45" s="39"/>
      <c r="BY45" s="32"/>
      <c r="BZ45" s="11"/>
      <c r="CA45" s="23">
        <f t="shared" si="6"/>
        <v>0</v>
      </c>
      <c r="CB45" s="164"/>
    </row>
    <row r="46" spans="2:80" ht="19.5" thickBot="1">
      <c r="B46" s="665"/>
      <c r="C46" s="666"/>
      <c r="D46" s="47"/>
      <c r="E46" s="33"/>
      <c r="F46" s="27"/>
      <c r="G46" s="34">
        <f t="shared" si="12"/>
        <v>0</v>
      </c>
      <c r="H46" s="170"/>
      <c r="J46" s="665"/>
      <c r="K46" s="666"/>
      <c r="L46" s="134">
        <f>+IF(N46&gt;0,0.015,0)</f>
        <v>0</v>
      </c>
      <c r="M46" s="33"/>
      <c r="N46" s="34">
        <f>+SUM(O6,O8,O10,O12,O14,O16,O18,O20,O22,O24,O26,O28,O30,O32,O34,O36,O38,O40,O42,O44,)</f>
        <v>0</v>
      </c>
      <c r="O46" s="34">
        <f t="shared" si="7"/>
        <v>0</v>
      </c>
      <c r="P46" s="46" t="s">
        <v>935</v>
      </c>
      <c r="R46" s="665"/>
      <c r="S46" s="666"/>
      <c r="T46" s="134">
        <f>+IF(V46&gt;0,0.2,0)</f>
        <v>0</v>
      </c>
      <c r="U46" s="33"/>
      <c r="V46" s="34">
        <f>+SUM(W6,W8,W10,W12,W14,W16,W18,W20,W22,W24,W26,W28,W30,W32,W34,W36,W38,W40,W42,W44,)</f>
        <v>0</v>
      </c>
      <c r="W46" s="34">
        <f t="shared" si="10"/>
        <v>0</v>
      </c>
      <c r="X46" s="46" t="s">
        <v>935</v>
      </c>
      <c r="Z46" s="665"/>
      <c r="AA46" s="666"/>
      <c r="AB46" s="47"/>
      <c r="AC46" s="33"/>
      <c r="AD46" s="27"/>
      <c r="AE46" s="34">
        <f t="shared" si="8"/>
        <v>0</v>
      </c>
      <c r="AF46" s="170"/>
      <c r="AH46" s="665"/>
      <c r="AI46" s="666"/>
      <c r="AJ46" s="47"/>
      <c r="AK46" s="33"/>
      <c r="AL46" s="27"/>
      <c r="AM46" s="34">
        <f t="shared" si="11"/>
        <v>0</v>
      </c>
      <c r="AN46" s="170"/>
      <c r="AP46" s="665"/>
      <c r="AQ46" s="666"/>
      <c r="AR46" s="132"/>
      <c r="AS46" s="33"/>
      <c r="AT46" s="27"/>
      <c r="AU46" s="34">
        <f t="shared" si="3"/>
        <v>0</v>
      </c>
      <c r="AV46" s="170"/>
      <c r="AX46" s="665"/>
      <c r="AY46" s="666"/>
      <c r="AZ46" s="132"/>
      <c r="BA46" s="33"/>
      <c r="BB46" s="27"/>
      <c r="BC46" s="34">
        <f t="shared" si="4"/>
        <v>0</v>
      </c>
      <c r="BD46" s="170"/>
      <c r="BF46" s="665"/>
      <c r="BG46" s="666"/>
      <c r="BH46" s="132"/>
      <c r="BI46" s="33"/>
      <c r="BJ46" s="27"/>
      <c r="BK46" s="34">
        <f t="shared" si="5"/>
        <v>0</v>
      </c>
      <c r="BL46" s="170"/>
      <c r="BN46" s="662"/>
      <c r="BO46" s="664"/>
      <c r="BP46" s="47"/>
      <c r="BQ46" s="33"/>
      <c r="BR46" s="27"/>
      <c r="BS46" s="34">
        <f t="shared" si="9"/>
        <v>0</v>
      </c>
      <c r="BT46" s="170"/>
      <c r="BV46" s="665"/>
      <c r="BW46" s="666"/>
      <c r="BX46" s="47"/>
      <c r="BY46" s="33"/>
      <c r="BZ46" s="27"/>
      <c r="CA46" s="34">
        <f t="shared" si="6"/>
        <v>0</v>
      </c>
      <c r="CB46" s="170"/>
    </row>
    <row r="47" spans="2:80" ht="19.5" thickTop="1">
      <c r="B47" s="671"/>
      <c r="C47" s="672" t="s">
        <v>11</v>
      </c>
      <c r="D47" s="22"/>
      <c r="E47" s="22"/>
      <c r="F47" s="23"/>
      <c r="G47" s="23">
        <f>+SUM(G5,G7,G9,G11,G13,G15,G17,G19,G21,G23,G25,G27,G29,G31,G33,G35,G37,G39,G41,G43,G45)</f>
        <v>0</v>
      </c>
      <c r="H47" s="22"/>
      <c r="J47" s="671"/>
      <c r="K47" s="672" t="s">
        <v>11</v>
      </c>
      <c r="L47" s="22"/>
      <c r="M47" s="22"/>
      <c r="N47" s="23"/>
      <c r="O47" s="23">
        <f>+SUM(N45,O45)</f>
        <v>0</v>
      </c>
      <c r="P47" s="22"/>
      <c r="R47" s="671"/>
      <c r="S47" s="672" t="s">
        <v>11</v>
      </c>
      <c r="T47" s="22"/>
      <c r="U47" s="22"/>
      <c r="V47" s="23"/>
      <c r="W47" s="23">
        <f>+SUM(V45,W45)</f>
        <v>0</v>
      </c>
      <c r="X47" s="22"/>
      <c r="Z47" s="671"/>
      <c r="AA47" s="672" t="s">
        <v>11</v>
      </c>
      <c r="AB47" s="22"/>
      <c r="AC47" s="22"/>
      <c r="AD47" s="23"/>
      <c r="AE47" s="23">
        <f>+SUM(AE5,AE7,AE9,AE11,AE13,AE15,AE17,AE19,AE21,AE23,AE25,AE27,AE29,AE31,AE33,AE35,AE37,AE39,AE41,AE43,AE45)</f>
        <v>0</v>
      </c>
      <c r="AF47" s="22"/>
      <c r="AH47" s="671"/>
      <c r="AI47" s="672" t="s">
        <v>11</v>
      </c>
      <c r="AJ47" s="22"/>
      <c r="AK47" s="22"/>
      <c r="AL47" s="23"/>
      <c r="AM47" s="23">
        <f>+SUM(AM5,AM7,AM9,AM11,AM13,AM15,AM17,AM19,AM21,AM23,AM25,AM27,AM29,AM31,AM33,AM35,AM37,AM39,AM41,AM43,AM45)</f>
        <v>0</v>
      </c>
      <c r="AN47" s="22"/>
      <c r="AP47" s="671"/>
      <c r="AQ47" s="672" t="s">
        <v>11</v>
      </c>
      <c r="AR47" s="22"/>
      <c r="AS47" s="22"/>
      <c r="AT47" s="23"/>
      <c r="AU47" s="23">
        <f>+SUM(AU5,AU7,AU9,AU11,AU13,AU15,AU17,AU19,AU21,AU23,AU25,AU27,AU29,AU31,AU33,AU35,AU37,AU39,AU41,AU43,AU45)</f>
        <v>0</v>
      </c>
      <c r="AV47" s="22"/>
      <c r="AX47" s="671"/>
      <c r="AY47" s="672" t="s">
        <v>11</v>
      </c>
      <c r="AZ47" s="22"/>
      <c r="BA47" s="22"/>
      <c r="BB47" s="23"/>
      <c r="BC47" s="23">
        <f>+SUM(BC5,BC7,BC9,BC11,BC13,BC15,BC17,BC19,BC21,BC23,BC25,BC27,BC29,BC31,BC33,BC35,BC37,BC39,BC41,BC43,BC45)</f>
        <v>0</v>
      </c>
      <c r="BD47" s="22"/>
      <c r="BF47" s="671"/>
      <c r="BG47" s="672" t="s">
        <v>11</v>
      </c>
      <c r="BH47" s="22"/>
      <c r="BI47" s="22"/>
      <c r="BJ47" s="23"/>
      <c r="BK47" s="23">
        <f>+SUM(BK5,BK7,BK9,BK11,BK13,BK15,BK17,BK19,BK21,BK23,BK25,BK27,BK29,BK31,BK33,BK35,BK37,BK39,BK41,BK43,BK45)</f>
        <v>0</v>
      </c>
      <c r="BL47" s="22"/>
      <c r="BN47" s="671"/>
      <c r="BO47" s="672" t="s">
        <v>11</v>
      </c>
      <c r="BP47" s="22"/>
      <c r="BQ47" s="22"/>
      <c r="BR47" s="23"/>
      <c r="BS47" s="23">
        <f>+SUM(BS5,BS7,BS9,BS11,BS13,BS15,BS17,BS19,BS21,BS23,BS25,BS27,BS29,BS31,BS33,BS35,BS37,BS39,BS41,BS43,BS45)</f>
        <v>0</v>
      </c>
      <c r="BT47" s="22"/>
      <c r="BV47" s="671"/>
      <c r="BW47" s="672" t="s">
        <v>11</v>
      </c>
      <c r="BX47" s="22"/>
      <c r="BY47" s="22"/>
      <c r="BZ47" s="23"/>
      <c r="CA47" s="23">
        <f>+SUM(CA5,CA7,CA9,CA11,CA13,CA15,CA17,CA19,CA21,CA23,CA25,CA27,CA29,CA31,CA33,CA35,CA37,CA39,CA41,CA43,CA45)</f>
        <v>0</v>
      </c>
      <c r="CB47" s="22"/>
    </row>
    <row r="48" spans="2:80">
      <c r="B48" s="662"/>
      <c r="C48" s="673"/>
      <c r="D48" s="12"/>
      <c r="E48" s="12"/>
      <c r="F48" s="13"/>
      <c r="G48" s="35">
        <f>+SUM(G6,G8,G10,G12,G14,G16,G18,G20,G22,G24,G26,G28,G30,G32,G34,G36,G38,G40,G42,G44,G46)</f>
        <v>0</v>
      </c>
      <c r="H48" s="12"/>
      <c r="J48" s="662"/>
      <c r="K48" s="673"/>
      <c r="L48" s="12"/>
      <c r="M48" s="12"/>
      <c r="N48" s="13"/>
      <c r="O48" s="35">
        <f>+SUM(N46,O46)</f>
        <v>0</v>
      </c>
      <c r="P48" s="12"/>
      <c r="R48" s="662"/>
      <c r="S48" s="673"/>
      <c r="T48" s="12"/>
      <c r="U48" s="12"/>
      <c r="V48" s="13"/>
      <c r="W48" s="35">
        <f>+SUM(V46,W46)</f>
        <v>0</v>
      </c>
      <c r="X48" s="12"/>
      <c r="Z48" s="662"/>
      <c r="AA48" s="673"/>
      <c r="AB48" s="12"/>
      <c r="AC48" s="12"/>
      <c r="AD48" s="13"/>
      <c r="AE48" s="35">
        <f>+SUM(AE6,AE8,AE10,AE12,AE14,AE16,AE18,AE20,AE22,AE24,AE26,AE28,AE30,AE32,AE34,AE36,AE38,AE40,AE42,AE44,AE46)</f>
        <v>0</v>
      </c>
      <c r="AF48" s="12"/>
      <c r="AH48" s="662"/>
      <c r="AI48" s="673"/>
      <c r="AJ48" s="12"/>
      <c r="AK48" s="12"/>
      <c r="AL48" s="13"/>
      <c r="AM48" s="35">
        <f>+SUM(AM6,AM8,AM10,AM12,AM14,AM16,AM18,AM20,AM22,AM24,AM26,AM28,AM30,AM32,AM34,AM36,AM38,AM40,AM42,AM44,AM46)</f>
        <v>0</v>
      </c>
      <c r="AN48" s="12"/>
      <c r="AP48" s="662"/>
      <c r="AQ48" s="673"/>
      <c r="AR48" s="12"/>
      <c r="AS48" s="12"/>
      <c r="AT48" s="13"/>
      <c r="AU48" s="35">
        <f>+SUM(AU6,AU8,AU10,AU12,AU14,AU16,AU18,AU20,AU22,AU24,AU26,AU28,AU30,AU32,AU34,AU36,AU38,AU40,AU42,AU44,AU46)</f>
        <v>0</v>
      </c>
      <c r="AV48" s="12"/>
      <c r="AX48" s="662"/>
      <c r="AY48" s="673"/>
      <c r="AZ48" s="12"/>
      <c r="BA48" s="12"/>
      <c r="BB48" s="13"/>
      <c r="BC48" s="35">
        <f>+SUM(BC6,BC8,BC10,BC12,BC14,BC16,BC18,BC20,BC22,BC24,BC26,BC28,BC30,BC32,BC34,BC36,BC38,BC40,BC42,BC44,BC46)</f>
        <v>0</v>
      </c>
      <c r="BD48" s="12"/>
      <c r="BF48" s="662"/>
      <c r="BG48" s="673"/>
      <c r="BH48" s="12"/>
      <c r="BI48" s="12"/>
      <c r="BJ48" s="13"/>
      <c r="BK48" s="35">
        <f>+SUM(BK6,BK8,BK10,BK12,BK14,BK16,BK18,BK20,BK22,BK24,BK26,BK28,BK30,BK32,BK34,BK36,BK38,BK40,BK42,BK44,BK46)</f>
        <v>0</v>
      </c>
      <c r="BL48" s="12"/>
      <c r="BN48" s="662"/>
      <c r="BO48" s="673"/>
      <c r="BP48" s="12"/>
      <c r="BQ48" s="12"/>
      <c r="BR48" s="13"/>
      <c r="BS48" s="35">
        <f>+SUM(BS6,BS8,BS10,BS12,BS14,BS16,BS18,BS20,BS22,BS24,BS26,BS28,BS30,BS32,BS34,BS36,BS38,BS40,BS42,BS44,BS46)</f>
        <v>0</v>
      </c>
      <c r="BT48" s="12"/>
      <c r="BV48" s="662"/>
      <c r="BW48" s="673"/>
      <c r="BX48" s="12"/>
      <c r="BY48" s="12"/>
      <c r="BZ48" s="13"/>
      <c r="CA48" s="35">
        <f>+SUM(CA6,CA8,CA10,CA12,CA14,CA16,CA18,CA20,CA22,CA24,CA26,CA28,CA30,CA32,CA34,CA36,CA38,CA40,CA42,CA44,CA46)</f>
        <v>0</v>
      </c>
      <c r="CB48" s="12"/>
    </row>
    <row r="49" spans="2:24">
      <c r="B49" s="14"/>
      <c r="C49" s="14"/>
      <c r="D49" s="14"/>
      <c r="E49" s="14"/>
      <c r="F49" s="15"/>
      <c r="G49" s="15"/>
      <c r="H49" s="14"/>
    </row>
    <row r="56" spans="2:24">
      <c r="R56" s="667" t="s">
        <v>254</v>
      </c>
      <c r="S56" s="668" t="s">
        <v>255</v>
      </c>
      <c r="T56" s="39">
        <v>2</v>
      </c>
      <c r="U56" s="32" t="s">
        <v>20</v>
      </c>
      <c r="V56" s="11">
        <v>271</v>
      </c>
      <c r="W56" s="23">
        <f t="shared" ref="W56:W57" si="13">+IF(V56&gt;0,INT(T56*V56),0)</f>
        <v>542</v>
      </c>
      <c r="X56" s="164" t="s">
        <v>646</v>
      </c>
    </row>
    <row r="57" spans="2:24">
      <c r="R57" s="662"/>
      <c r="S57" s="664"/>
      <c r="T57" s="38"/>
      <c r="U57" s="31"/>
      <c r="V57" s="13"/>
      <c r="W57" s="35">
        <f t="shared" si="13"/>
        <v>0</v>
      </c>
      <c r="X57" s="163"/>
    </row>
  </sheetData>
  <mergeCells count="482">
    <mergeCell ref="N2:O3"/>
    <mergeCell ref="P2:P3"/>
    <mergeCell ref="R2:S3"/>
    <mergeCell ref="T2:U3"/>
    <mergeCell ref="V2:W3"/>
    <mergeCell ref="X2:X3"/>
    <mergeCell ref="B2:C3"/>
    <mergeCell ref="D2:E3"/>
    <mergeCell ref="F2:G3"/>
    <mergeCell ref="H2:H3"/>
    <mergeCell ref="J2:K3"/>
    <mergeCell ref="L2:M3"/>
    <mergeCell ref="AP2:AQ3"/>
    <mergeCell ref="AR2:AS3"/>
    <mergeCell ref="AT2:AU3"/>
    <mergeCell ref="AV2:AV3"/>
    <mergeCell ref="Z2:AA3"/>
    <mergeCell ref="AB2:AC3"/>
    <mergeCell ref="AD2:AE3"/>
    <mergeCell ref="AF2:AF3"/>
    <mergeCell ref="AH2:AI3"/>
    <mergeCell ref="AJ2:AK3"/>
    <mergeCell ref="BV2:BW3"/>
    <mergeCell ref="BX2:BY3"/>
    <mergeCell ref="BZ2:CA3"/>
    <mergeCell ref="CB2:CB3"/>
    <mergeCell ref="B5:B6"/>
    <mergeCell ref="C5:C6"/>
    <mergeCell ref="J5:J6"/>
    <mergeCell ref="K5:K6"/>
    <mergeCell ref="R5:R6"/>
    <mergeCell ref="S5:S6"/>
    <mergeCell ref="BJ2:BK3"/>
    <mergeCell ref="BL2:BL3"/>
    <mergeCell ref="BN2:BO3"/>
    <mergeCell ref="BP2:BQ3"/>
    <mergeCell ref="BR2:BS3"/>
    <mergeCell ref="BT2:BT3"/>
    <mergeCell ref="AX2:AY3"/>
    <mergeCell ref="AZ2:BA3"/>
    <mergeCell ref="BB2:BC3"/>
    <mergeCell ref="BD2:BD3"/>
    <mergeCell ref="BF2:BG3"/>
    <mergeCell ref="BH2:BI3"/>
    <mergeCell ref="AL2:AM3"/>
    <mergeCell ref="AN2:AN3"/>
    <mergeCell ref="BV5:BV6"/>
    <mergeCell ref="BW5:BW6"/>
    <mergeCell ref="B7:B8"/>
    <mergeCell ref="C7:C8"/>
    <mergeCell ref="J7:J8"/>
    <mergeCell ref="K7:K8"/>
    <mergeCell ref="R7:R8"/>
    <mergeCell ref="S7:S8"/>
    <mergeCell ref="Z7:Z8"/>
    <mergeCell ref="AA7:AA8"/>
    <mergeCell ref="AX5:AX6"/>
    <mergeCell ref="AY5:AY6"/>
    <mergeCell ref="BF5:BF6"/>
    <mergeCell ref="BG5:BG6"/>
    <mergeCell ref="BN5:BN6"/>
    <mergeCell ref="BO5:BO6"/>
    <mergeCell ref="Z5:Z6"/>
    <mergeCell ref="AA5:AA6"/>
    <mergeCell ref="AH5:AH6"/>
    <mergeCell ref="AI5:AI6"/>
    <mergeCell ref="AP5:AP6"/>
    <mergeCell ref="AQ5:AQ6"/>
    <mergeCell ref="BF7:BF8"/>
    <mergeCell ref="BG7:BG8"/>
    <mergeCell ref="BN7:BN8"/>
    <mergeCell ref="BO7:BO8"/>
    <mergeCell ref="BV7:BV8"/>
    <mergeCell ref="BW7:BW8"/>
    <mergeCell ref="AH7:AH8"/>
    <mergeCell ref="AI7:AI8"/>
    <mergeCell ref="AP7:AP8"/>
    <mergeCell ref="AQ7:AQ8"/>
    <mergeCell ref="AX7:AX8"/>
    <mergeCell ref="AY7:AY8"/>
    <mergeCell ref="B11:B12"/>
    <mergeCell ref="C11:C12"/>
    <mergeCell ref="J11:J12"/>
    <mergeCell ref="K11:K12"/>
    <mergeCell ref="R11:R12"/>
    <mergeCell ref="S11:S12"/>
    <mergeCell ref="Z11:Z12"/>
    <mergeCell ref="AA11:AA12"/>
    <mergeCell ref="AX9:AX10"/>
    <mergeCell ref="Z9:Z10"/>
    <mergeCell ref="AA9:AA10"/>
    <mergeCell ref="AH9:AH10"/>
    <mergeCell ref="AI9:AI10"/>
    <mergeCell ref="AP9:AP10"/>
    <mergeCell ref="AQ9:AQ10"/>
    <mergeCell ref="B9:B10"/>
    <mergeCell ref="C9:C10"/>
    <mergeCell ref="J9:J10"/>
    <mergeCell ref="K9:K10"/>
    <mergeCell ref="R9:R10"/>
    <mergeCell ref="S9:S10"/>
    <mergeCell ref="BW11:BW12"/>
    <mergeCell ref="AH11:AH12"/>
    <mergeCell ref="AI11:AI12"/>
    <mergeCell ref="AP11:AP12"/>
    <mergeCell ref="AQ11:AQ12"/>
    <mergeCell ref="AX11:AX12"/>
    <mergeCell ref="AY11:AY12"/>
    <mergeCell ref="BV9:BV10"/>
    <mergeCell ref="BW9:BW10"/>
    <mergeCell ref="AY9:AY10"/>
    <mergeCell ref="BF9:BF10"/>
    <mergeCell ref="BG9:BG10"/>
    <mergeCell ref="BN9:BN10"/>
    <mergeCell ref="BO9:BO10"/>
    <mergeCell ref="J13:J14"/>
    <mergeCell ref="K13:K14"/>
    <mergeCell ref="R13:R14"/>
    <mergeCell ref="S13:S14"/>
    <mergeCell ref="BF11:BF12"/>
    <mergeCell ref="BG11:BG12"/>
    <mergeCell ref="BN11:BN12"/>
    <mergeCell ref="BO11:BO12"/>
    <mergeCell ref="BV11:BV12"/>
    <mergeCell ref="BV13:BV14"/>
    <mergeCell ref="BW13:BW14"/>
    <mergeCell ref="B15:B16"/>
    <mergeCell ref="C15:C16"/>
    <mergeCell ref="J15:J16"/>
    <mergeCell ref="K15:K16"/>
    <mergeCell ref="R15:R16"/>
    <mergeCell ref="S15:S16"/>
    <mergeCell ref="Z15:Z16"/>
    <mergeCell ref="AA15:AA16"/>
    <mergeCell ref="AX13:AX14"/>
    <mergeCell ref="AY13:AY14"/>
    <mergeCell ref="BF13:BF14"/>
    <mergeCell ref="BG13:BG14"/>
    <mergeCell ref="BN13:BN14"/>
    <mergeCell ref="BO13:BO14"/>
    <mergeCell ref="Z13:Z14"/>
    <mergeCell ref="AA13:AA14"/>
    <mergeCell ref="AH13:AH14"/>
    <mergeCell ref="AI13:AI14"/>
    <mergeCell ref="AP13:AP14"/>
    <mergeCell ref="AQ13:AQ14"/>
    <mergeCell ref="B13:B14"/>
    <mergeCell ref="C13:C14"/>
    <mergeCell ref="BF15:BF16"/>
    <mergeCell ref="BG15:BG16"/>
    <mergeCell ref="BN15:BN16"/>
    <mergeCell ref="BO15:BO16"/>
    <mergeCell ref="BV15:BV16"/>
    <mergeCell ref="BW15:BW16"/>
    <mergeCell ref="AH15:AH16"/>
    <mergeCell ref="AI15:AI16"/>
    <mergeCell ref="AP15:AP16"/>
    <mergeCell ref="AQ15:AQ16"/>
    <mergeCell ref="AX15:AX16"/>
    <mergeCell ref="AY15:AY16"/>
    <mergeCell ref="B19:B20"/>
    <mergeCell ref="C19:C20"/>
    <mergeCell ref="J19:J20"/>
    <mergeCell ref="K19:K20"/>
    <mergeCell ref="R19:R20"/>
    <mergeCell ref="S19:S20"/>
    <mergeCell ref="Z19:Z20"/>
    <mergeCell ref="AA19:AA20"/>
    <mergeCell ref="AX17:AX18"/>
    <mergeCell ref="Z17:Z18"/>
    <mergeCell ref="AA17:AA18"/>
    <mergeCell ref="AH17:AH18"/>
    <mergeCell ref="AI17:AI18"/>
    <mergeCell ref="AP17:AP18"/>
    <mergeCell ref="AQ17:AQ18"/>
    <mergeCell ref="B17:B18"/>
    <mergeCell ref="C17:C18"/>
    <mergeCell ref="J17:J18"/>
    <mergeCell ref="K17:K18"/>
    <mergeCell ref="R17:R18"/>
    <mergeCell ref="S17:S18"/>
    <mergeCell ref="BW19:BW20"/>
    <mergeCell ref="AH19:AH20"/>
    <mergeCell ref="AI19:AI20"/>
    <mergeCell ref="AP19:AP20"/>
    <mergeCell ref="AQ19:AQ20"/>
    <mergeCell ref="AX19:AX20"/>
    <mergeCell ref="AY19:AY20"/>
    <mergeCell ref="BV17:BV18"/>
    <mergeCell ref="BW17:BW18"/>
    <mergeCell ref="AY17:AY18"/>
    <mergeCell ref="BF17:BF18"/>
    <mergeCell ref="BG17:BG18"/>
    <mergeCell ref="BN17:BN18"/>
    <mergeCell ref="BO17:BO18"/>
    <mergeCell ref="J21:J22"/>
    <mergeCell ref="K21:K22"/>
    <mergeCell ref="R21:R22"/>
    <mergeCell ref="S21:S22"/>
    <mergeCell ref="BF19:BF20"/>
    <mergeCell ref="BG19:BG20"/>
    <mergeCell ref="BN19:BN20"/>
    <mergeCell ref="BO19:BO20"/>
    <mergeCell ref="BV19:BV20"/>
    <mergeCell ref="BV21:BV22"/>
    <mergeCell ref="BW21:BW22"/>
    <mergeCell ref="B23:B24"/>
    <mergeCell ref="C23:C24"/>
    <mergeCell ref="J23:J24"/>
    <mergeCell ref="K23:K24"/>
    <mergeCell ref="R23:R24"/>
    <mergeCell ref="S23:S24"/>
    <mergeCell ref="Z23:Z24"/>
    <mergeCell ref="AA23:AA24"/>
    <mergeCell ref="AX21:AX22"/>
    <mergeCell ref="AY21:AY22"/>
    <mergeCell ref="BF21:BF22"/>
    <mergeCell ref="BG21:BG22"/>
    <mergeCell ref="BN21:BN22"/>
    <mergeCell ref="BO21:BO22"/>
    <mergeCell ref="Z21:Z22"/>
    <mergeCell ref="AA21:AA22"/>
    <mergeCell ref="AH21:AH22"/>
    <mergeCell ref="AI21:AI22"/>
    <mergeCell ref="AP21:AP22"/>
    <mergeCell ref="AQ21:AQ22"/>
    <mergeCell ref="B21:B22"/>
    <mergeCell ref="C21:C22"/>
    <mergeCell ref="BF23:BF24"/>
    <mergeCell ref="BG23:BG24"/>
    <mergeCell ref="BN23:BN24"/>
    <mergeCell ref="BO23:BO24"/>
    <mergeCell ref="BV23:BV24"/>
    <mergeCell ref="BW23:BW24"/>
    <mergeCell ref="AH23:AH24"/>
    <mergeCell ref="AI23:AI24"/>
    <mergeCell ref="AP23:AP24"/>
    <mergeCell ref="AQ23:AQ24"/>
    <mergeCell ref="AX23:AX24"/>
    <mergeCell ref="AY23:AY24"/>
    <mergeCell ref="B27:B28"/>
    <mergeCell ref="C27:C28"/>
    <mergeCell ref="J27:J28"/>
    <mergeCell ref="K27:K28"/>
    <mergeCell ref="R27:R28"/>
    <mergeCell ref="S27:S28"/>
    <mergeCell ref="Z27:Z28"/>
    <mergeCell ref="AA27:AA28"/>
    <mergeCell ref="AX25:AX26"/>
    <mergeCell ref="Z25:Z26"/>
    <mergeCell ref="AA25:AA26"/>
    <mergeCell ref="AH25:AH26"/>
    <mergeCell ref="AI25:AI26"/>
    <mergeCell ref="AP25:AP26"/>
    <mergeCell ref="AQ25:AQ26"/>
    <mergeCell ref="B25:B26"/>
    <mergeCell ref="C25:C26"/>
    <mergeCell ref="J25:J26"/>
    <mergeCell ref="K25:K26"/>
    <mergeCell ref="R25:R26"/>
    <mergeCell ref="S25:S26"/>
    <mergeCell ref="BW27:BW28"/>
    <mergeCell ref="AH27:AH28"/>
    <mergeCell ref="AI27:AI28"/>
    <mergeCell ref="AP27:AP28"/>
    <mergeCell ref="AQ27:AQ28"/>
    <mergeCell ref="AX27:AX28"/>
    <mergeCell ref="AY27:AY28"/>
    <mergeCell ref="BV25:BV26"/>
    <mergeCell ref="BW25:BW26"/>
    <mergeCell ref="AY25:AY26"/>
    <mergeCell ref="BF25:BF26"/>
    <mergeCell ref="BG25:BG26"/>
    <mergeCell ref="BN25:BN26"/>
    <mergeCell ref="BO25:BO26"/>
    <mergeCell ref="J29:J30"/>
    <mergeCell ref="K29:K30"/>
    <mergeCell ref="R29:R30"/>
    <mergeCell ref="S29:S30"/>
    <mergeCell ref="BF27:BF28"/>
    <mergeCell ref="BG27:BG28"/>
    <mergeCell ref="BN27:BN28"/>
    <mergeCell ref="BO27:BO28"/>
    <mergeCell ref="BV27:BV28"/>
    <mergeCell ref="BV29:BV30"/>
    <mergeCell ref="BW29:BW30"/>
    <mergeCell ref="B31:B32"/>
    <mergeCell ref="C31:C32"/>
    <mergeCell ref="J31:J32"/>
    <mergeCell ref="K31:K32"/>
    <mergeCell ref="R31:R32"/>
    <mergeCell ref="S31:S32"/>
    <mergeCell ref="Z31:Z32"/>
    <mergeCell ref="AA31:AA32"/>
    <mergeCell ref="AX29:AX30"/>
    <mergeCell ref="AY29:AY30"/>
    <mergeCell ref="BF29:BF30"/>
    <mergeCell ref="BG29:BG30"/>
    <mergeCell ref="BN29:BN30"/>
    <mergeCell ref="BO29:BO30"/>
    <mergeCell ref="Z29:Z30"/>
    <mergeCell ref="AA29:AA30"/>
    <mergeCell ref="AH29:AH30"/>
    <mergeCell ref="AI29:AI30"/>
    <mergeCell ref="AP29:AP30"/>
    <mergeCell ref="AQ29:AQ30"/>
    <mergeCell ref="B29:B30"/>
    <mergeCell ref="C29:C30"/>
    <mergeCell ref="BF31:BF32"/>
    <mergeCell ref="BG31:BG32"/>
    <mergeCell ref="BN31:BN32"/>
    <mergeCell ref="BO31:BO32"/>
    <mergeCell ref="BV31:BV32"/>
    <mergeCell ref="BW31:BW32"/>
    <mergeCell ref="AH31:AH32"/>
    <mergeCell ref="AI31:AI32"/>
    <mergeCell ref="AP31:AP32"/>
    <mergeCell ref="AQ31:AQ32"/>
    <mergeCell ref="AX31:AX32"/>
    <mergeCell ref="AY31:AY32"/>
    <mergeCell ref="B35:B36"/>
    <mergeCell ref="C35:C36"/>
    <mergeCell ref="J35:J36"/>
    <mergeCell ref="K35:K36"/>
    <mergeCell ref="R35:R36"/>
    <mergeCell ref="S35:S36"/>
    <mergeCell ref="Z35:Z36"/>
    <mergeCell ref="AA35:AA36"/>
    <mergeCell ref="AX33:AX34"/>
    <mergeCell ref="Z33:Z34"/>
    <mergeCell ref="AA33:AA34"/>
    <mergeCell ref="AH33:AH34"/>
    <mergeCell ref="AI33:AI34"/>
    <mergeCell ref="AP33:AP34"/>
    <mergeCell ref="AQ33:AQ34"/>
    <mergeCell ref="B33:B34"/>
    <mergeCell ref="C33:C34"/>
    <mergeCell ref="J33:J34"/>
    <mergeCell ref="K33:K34"/>
    <mergeCell ref="R33:R34"/>
    <mergeCell ref="S33:S34"/>
    <mergeCell ref="BW35:BW36"/>
    <mergeCell ref="AH35:AH36"/>
    <mergeCell ref="AI35:AI36"/>
    <mergeCell ref="AP35:AP36"/>
    <mergeCell ref="AQ35:AQ36"/>
    <mergeCell ref="AX35:AX36"/>
    <mergeCell ref="AY35:AY36"/>
    <mergeCell ref="BV33:BV34"/>
    <mergeCell ref="BW33:BW34"/>
    <mergeCell ref="AY33:AY34"/>
    <mergeCell ref="BF33:BF34"/>
    <mergeCell ref="BG33:BG34"/>
    <mergeCell ref="BN33:BN34"/>
    <mergeCell ref="BO33:BO34"/>
    <mergeCell ref="J37:J38"/>
    <mergeCell ref="K37:K38"/>
    <mergeCell ref="R37:R38"/>
    <mergeCell ref="S37:S38"/>
    <mergeCell ref="BF35:BF36"/>
    <mergeCell ref="BG35:BG36"/>
    <mergeCell ref="BN35:BN36"/>
    <mergeCell ref="BO35:BO36"/>
    <mergeCell ref="BV35:BV36"/>
    <mergeCell ref="BV37:BV38"/>
    <mergeCell ref="BW37:BW38"/>
    <mergeCell ref="B39:B40"/>
    <mergeCell ref="C39:C40"/>
    <mergeCell ref="J39:J40"/>
    <mergeCell ref="K39:K40"/>
    <mergeCell ref="R39:R40"/>
    <mergeCell ref="S39:S40"/>
    <mergeCell ref="Z39:Z40"/>
    <mergeCell ref="AA39:AA40"/>
    <mergeCell ref="AX37:AX38"/>
    <mergeCell ref="AY37:AY38"/>
    <mergeCell ref="BF37:BF38"/>
    <mergeCell ref="BG37:BG38"/>
    <mergeCell ref="BN37:BN38"/>
    <mergeCell ref="BO37:BO38"/>
    <mergeCell ref="Z37:Z38"/>
    <mergeCell ref="AA37:AA38"/>
    <mergeCell ref="AH37:AH38"/>
    <mergeCell ref="AI37:AI38"/>
    <mergeCell ref="AP37:AP38"/>
    <mergeCell ref="AQ37:AQ38"/>
    <mergeCell ref="B37:B38"/>
    <mergeCell ref="C37:C38"/>
    <mergeCell ref="BF39:BF40"/>
    <mergeCell ref="BG39:BG40"/>
    <mergeCell ref="BN39:BN40"/>
    <mergeCell ref="BO39:BO40"/>
    <mergeCell ref="BV39:BV40"/>
    <mergeCell ref="BW39:BW40"/>
    <mergeCell ref="AH39:AH40"/>
    <mergeCell ref="AI39:AI40"/>
    <mergeCell ref="AP39:AP40"/>
    <mergeCell ref="AQ39:AQ40"/>
    <mergeCell ref="AX39:AX40"/>
    <mergeCell ref="AY39:AY40"/>
    <mergeCell ref="B43:B44"/>
    <mergeCell ref="C43:C44"/>
    <mergeCell ref="J43:J44"/>
    <mergeCell ref="K43:K44"/>
    <mergeCell ref="R43:R44"/>
    <mergeCell ref="S43:S44"/>
    <mergeCell ref="Z43:Z44"/>
    <mergeCell ref="AA43:AA44"/>
    <mergeCell ref="AX41:AX42"/>
    <mergeCell ref="Z41:Z42"/>
    <mergeCell ref="AA41:AA42"/>
    <mergeCell ref="AH41:AH42"/>
    <mergeCell ref="AI41:AI42"/>
    <mergeCell ref="AP41:AP42"/>
    <mergeCell ref="AQ41:AQ42"/>
    <mergeCell ref="B41:B42"/>
    <mergeCell ref="C41:C42"/>
    <mergeCell ref="J41:J42"/>
    <mergeCell ref="K41:K42"/>
    <mergeCell ref="R41:R42"/>
    <mergeCell ref="S41:S42"/>
    <mergeCell ref="BW43:BW44"/>
    <mergeCell ref="AH43:AH44"/>
    <mergeCell ref="AI43:AI44"/>
    <mergeCell ref="AP43:AP44"/>
    <mergeCell ref="AQ43:AQ44"/>
    <mergeCell ref="AX43:AX44"/>
    <mergeCell ref="AY43:AY44"/>
    <mergeCell ref="BV41:BV42"/>
    <mergeCell ref="BW41:BW42"/>
    <mergeCell ref="AY41:AY42"/>
    <mergeCell ref="BF41:BF42"/>
    <mergeCell ref="BG41:BG42"/>
    <mergeCell ref="BN41:BN42"/>
    <mergeCell ref="BO41:BO42"/>
    <mergeCell ref="K45:K46"/>
    <mergeCell ref="R45:R46"/>
    <mergeCell ref="S45:S46"/>
    <mergeCell ref="BF43:BF44"/>
    <mergeCell ref="BG43:BG44"/>
    <mergeCell ref="BN43:BN44"/>
    <mergeCell ref="BO43:BO44"/>
    <mergeCell ref="BV43:BV44"/>
    <mergeCell ref="BV45:BV46"/>
    <mergeCell ref="BW45:BW46"/>
    <mergeCell ref="B47:B48"/>
    <mergeCell ref="C47:C48"/>
    <mergeCell ref="J47:J48"/>
    <mergeCell ref="K47:K48"/>
    <mergeCell ref="R47:R48"/>
    <mergeCell ref="S47:S48"/>
    <mergeCell ref="Z47:Z48"/>
    <mergeCell ref="AA47:AA48"/>
    <mergeCell ref="AX45:AX46"/>
    <mergeCell ref="AY45:AY46"/>
    <mergeCell ref="BF45:BF46"/>
    <mergeCell ref="BG45:BG46"/>
    <mergeCell ref="BN45:BN46"/>
    <mergeCell ref="BO45:BO46"/>
    <mergeCell ref="Z45:Z46"/>
    <mergeCell ref="AA45:AA46"/>
    <mergeCell ref="AH45:AH46"/>
    <mergeCell ref="AI45:AI46"/>
    <mergeCell ref="AP45:AP46"/>
    <mergeCell ref="AQ45:AQ46"/>
    <mergeCell ref="B45:B46"/>
    <mergeCell ref="C45:C46"/>
    <mergeCell ref="J45:J46"/>
    <mergeCell ref="R56:R57"/>
    <mergeCell ref="S56:S57"/>
    <mergeCell ref="BF47:BF48"/>
    <mergeCell ref="BG47:BG48"/>
    <mergeCell ref="BN47:BN48"/>
    <mergeCell ref="BO47:BO48"/>
    <mergeCell ref="BV47:BV48"/>
    <mergeCell ref="BW47:BW48"/>
    <mergeCell ref="AH47:AH48"/>
    <mergeCell ref="AI47:AI48"/>
    <mergeCell ref="AP47:AP48"/>
    <mergeCell ref="AQ47:AQ48"/>
    <mergeCell ref="AX47:AX48"/>
    <mergeCell ref="AY47:AY48"/>
  </mergeCells>
  <phoneticPr fontId="3"/>
  <hyperlinks>
    <hyperlink ref="A1" location="menu!A1" display="menu" xr:uid="{00000000-0004-0000-2800-000000000000}"/>
  </hyperlinks>
  <printOptions horizontalCentered="1"/>
  <pageMargins left="0.78740157480314965" right="0.19685039370078741" top="0.74803149606299213" bottom="0.74803149606299213" header="0.31496062992125984" footer="0.31496062992125984"/>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X55"/>
  <sheetViews>
    <sheetView showGridLines="0" showZeros="0" view="pageBreakPreview" zoomScaleNormal="100" zoomScaleSheetLayoutView="100" workbookViewId="0">
      <selection activeCell="C8" sqref="C8"/>
    </sheetView>
  </sheetViews>
  <sheetFormatPr defaultRowHeight="18.75"/>
  <cols>
    <col min="2" max="2" width="21.625" customWidth="1"/>
    <col min="3" max="7" width="12.625" customWidth="1"/>
    <col min="8" max="8" width="17.625" customWidth="1"/>
    <col min="9" max="9" width="2.625" customWidth="1"/>
    <col min="10" max="10" width="21.625" customWidth="1"/>
    <col min="11" max="15" width="4.625" customWidth="1"/>
    <col min="16" max="16" width="6.625" customWidth="1"/>
    <col min="17" max="17" width="4.625" customWidth="1"/>
    <col min="18" max="18" width="6.625" customWidth="1"/>
    <col min="19" max="19" width="4.625" customWidth="1"/>
    <col min="20" max="20" width="6.625" customWidth="1"/>
    <col min="21" max="21" width="4.625" customWidth="1"/>
    <col min="22" max="22" width="6.625" customWidth="1"/>
    <col min="23" max="23" width="17.625" customWidth="1"/>
    <col min="24" max="24" width="2.625" customWidth="1"/>
    <col min="25" max="25" width="21.625" customWidth="1"/>
    <col min="26" max="30" width="4.625" customWidth="1"/>
    <col min="31" max="31" width="6.625" customWidth="1"/>
    <col min="32" max="32" width="4.625" customWidth="1"/>
    <col min="33" max="33" width="6.625" customWidth="1"/>
    <col min="34" max="34" width="4.625" customWidth="1"/>
    <col min="35" max="35" width="6.625" customWidth="1"/>
    <col min="36" max="36" width="4.625" customWidth="1"/>
    <col min="37" max="37" width="6.625" customWidth="1"/>
    <col min="38" max="38" width="17.625" customWidth="1"/>
    <col min="39" max="39" width="2.625" customWidth="1"/>
    <col min="40" max="40" width="21.625" customWidth="1"/>
    <col min="41" max="45" width="4.625" customWidth="1"/>
    <col min="46" max="46" width="6.625" customWidth="1"/>
    <col min="47" max="47" width="4.625" customWidth="1"/>
    <col min="48" max="48" width="6.625" customWidth="1"/>
    <col min="49" max="49" width="4.625" customWidth="1"/>
    <col min="50" max="50" width="6.625" customWidth="1"/>
    <col min="51" max="51" width="4.625" customWidth="1"/>
    <col min="52" max="52" width="6.625" customWidth="1"/>
    <col min="53" max="53" width="17.625" customWidth="1"/>
    <col min="54" max="54" width="2.625" customWidth="1"/>
    <col min="55" max="55" width="21.625" customWidth="1"/>
    <col min="56" max="60" width="4.625" customWidth="1"/>
    <col min="61" max="61" width="6.625" customWidth="1"/>
    <col min="62" max="62" width="4.625" customWidth="1"/>
    <col min="63" max="63" width="6.625" customWidth="1"/>
    <col min="64" max="64" width="4.625" customWidth="1"/>
    <col min="65" max="65" width="6.625" customWidth="1"/>
    <col min="66" max="66" width="4.625" customWidth="1"/>
    <col min="67" max="67" width="6.625" customWidth="1"/>
    <col min="68" max="68" width="17.625" customWidth="1"/>
    <col min="69" max="69" width="2.625" customWidth="1"/>
    <col min="70" max="70" width="21.625" customWidth="1"/>
    <col min="71" max="75" width="4.625" customWidth="1"/>
    <col min="76" max="76" width="6.625" customWidth="1"/>
    <col min="77" max="77" width="4.625" customWidth="1"/>
    <col min="78" max="78" width="6.625" customWidth="1"/>
    <col min="79" max="79" width="4.625" customWidth="1"/>
    <col min="80" max="80" width="6.625" customWidth="1"/>
    <col min="81" max="81" width="4.625" customWidth="1"/>
    <col min="82" max="82" width="6.625" customWidth="1"/>
    <col min="83" max="83" width="17.625" customWidth="1"/>
    <col min="84" max="84" width="2.625" customWidth="1"/>
    <col min="85" max="85" width="21.625" customWidth="1"/>
    <col min="86" max="90" width="4.625" customWidth="1"/>
    <col min="91" max="91" width="6.625" customWidth="1"/>
    <col min="92" max="92" width="4.625" customWidth="1"/>
    <col min="93" max="93" width="6.625" customWidth="1"/>
    <col min="94" max="94" width="4.625" customWidth="1"/>
    <col min="95" max="95" width="6.625" customWidth="1"/>
    <col min="96" max="96" width="4.625" customWidth="1"/>
    <col min="97" max="97" width="6.625" customWidth="1"/>
    <col min="98" max="98" width="17.625" customWidth="1"/>
    <col min="99" max="99" width="2.625" customWidth="1"/>
    <col min="100" max="100" width="21.625" customWidth="1"/>
    <col min="101" max="105" width="4.625" customWidth="1"/>
    <col min="106" max="106" width="6.625" customWidth="1"/>
    <col min="107" max="107" width="4.625" customWidth="1"/>
    <col min="108" max="108" width="6.625" customWidth="1"/>
    <col min="109" max="109" width="4.625" customWidth="1"/>
    <col min="110" max="110" width="6.625" customWidth="1"/>
    <col min="111" max="111" width="4.625" customWidth="1"/>
    <col min="112" max="112" width="6.625" customWidth="1"/>
    <col min="113" max="113" width="17.625" customWidth="1"/>
    <col min="114" max="114" width="2.625" customWidth="1"/>
    <col min="115" max="115" width="21.625" customWidth="1"/>
    <col min="116" max="120" width="4.625" customWidth="1"/>
    <col min="121" max="121" width="6.625" customWidth="1"/>
    <col min="122" max="122" width="4.625" customWidth="1"/>
    <col min="123" max="123" width="6.625" customWidth="1"/>
    <col min="124" max="124" width="4.625" customWidth="1"/>
    <col min="125" max="125" width="6.625" customWidth="1"/>
    <col min="126" max="126" width="4.625" customWidth="1"/>
    <col min="127" max="127" width="6.625" customWidth="1"/>
    <col min="128" max="128" width="17.625" customWidth="1"/>
  </cols>
  <sheetData>
    <row r="1" spans="1:128">
      <c r="A1" s="298" t="s">
        <v>476</v>
      </c>
    </row>
    <row r="2" spans="1:128" ht="18.75" customHeight="1">
      <c r="B2" s="16"/>
      <c r="C2" s="702" t="s">
        <v>298</v>
      </c>
      <c r="D2" s="675"/>
      <c r="E2" s="675"/>
      <c r="F2" s="675"/>
      <c r="G2" s="675"/>
      <c r="H2" s="703" t="s">
        <v>9</v>
      </c>
      <c r="J2" s="16"/>
      <c r="K2" s="702" t="s">
        <v>308</v>
      </c>
      <c r="L2" s="675"/>
      <c r="M2" s="675"/>
      <c r="N2" s="675"/>
      <c r="O2" s="675"/>
      <c r="P2" s="675"/>
      <c r="Q2" s="675"/>
      <c r="R2" s="675"/>
      <c r="S2" s="675"/>
      <c r="T2" s="675"/>
      <c r="U2" s="675"/>
      <c r="V2" s="675"/>
      <c r="W2" s="703" t="s">
        <v>9</v>
      </c>
      <c r="Y2" s="16"/>
      <c r="Z2" s="702" t="s">
        <v>299</v>
      </c>
      <c r="AA2" s="675"/>
      <c r="AB2" s="675"/>
      <c r="AC2" s="675"/>
      <c r="AD2" s="675"/>
      <c r="AE2" s="675"/>
      <c r="AF2" s="675"/>
      <c r="AG2" s="675"/>
      <c r="AH2" s="675"/>
      <c r="AI2" s="675"/>
      <c r="AJ2" s="675"/>
      <c r="AK2" s="675"/>
      <c r="AL2" s="703" t="s">
        <v>9</v>
      </c>
      <c r="AN2" s="16"/>
      <c r="AO2" s="702" t="s">
        <v>300</v>
      </c>
      <c r="AP2" s="675"/>
      <c r="AQ2" s="675"/>
      <c r="AR2" s="675"/>
      <c r="AS2" s="675"/>
      <c r="AT2" s="675"/>
      <c r="AU2" s="675"/>
      <c r="AV2" s="675"/>
      <c r="AW2" s="675"/>
      <c r="AX2" s="675"/>
      <c r="AY2" s="675"/>
      <c r="AZ2" s="675"/>
      <c r="BA2" s="703" t="s">
        <v>9</v>
      </c>
      <c r="BC2" s="16"/>
      <c r="BD2" s="702" t="s">
        <v>301</v>
      </c>
      <c r="BE2" s="675"/>
      <c r="BF2" s="675"/>
      <c r="BG2" s="675"/>
      <c r="BH2" s="675"/>
      <c r="BI2" s="675"/>
      <c r="BJ2" s="675"/>
      <c r="BK2" s="675"/>
      <c r="BL2" s="675"/>
      <c r="BM2" s="675"/>
      <c r="BN2" s="675"/>
      <c r="BO2" s="675"/>
      <c r="BP2" s="703" t="s">
        <v>9</v>
      </c>
      <c r="BR2" s="16"/>
      <c r="BS2" s="702" t="s">
        <v>302</v>
      </c>
      <c r="BT2" s="675"/>
      <c r="BU2" s="675"/>
      <c r="BV2" s="675"/>
      <c r="BW2" s="675"/>
      <c r="BX2" s="675"/>
      <c r="BY2" s="675"/>
      <c r="BZ2" s="675"/>
      <c r="CA2" s="675"/>
      <c r="CB2" s="675"/>
      <c r="CC2" s="675"/>
      <c r="CD2" s="675"/>
      <c r="CE2" s="703" t="s">
        <v>9</v>
      </c>
      <c r="CG2" s="16"/>
      <c r="CH2" s="702" t="s">
        <v>67</v>
      </c>
      <c r="CI2" s="675"/>
      <c r="CJ2" s="675"/>
      <c r="CK2" s="675"/>
      <c r="CL2" s="675"/>
      <c r="CM2" s="675"/>
      <c r="CN2" s="675"/>
      <c r="CO2" s="675"/>
      <c r="CP2" s="675"/>
      <c r="CQ2" s="675"/>
      <c r="CR2" s="675"/>
      <c r="CS2" s="675"/>
      <c r="CT2" s="703" t="s">
        <v>9</v>
      </c>
      <c r="CV2" s="16"/>
      <c r="CW2" s="702" t="s">
        <v>303</v>
      </c>
      <c r="CX2" s="675"/>
      <c r="CY2" s="675"/>
      <c r="CZ2" s="675"/>
      <c r="DA2" s="675"/>
      <c r="DB2" s="675"/>
      <c r="DC2" s="675"/>
      <c r="DD2" s="675"/>
      <c r="DE2" s="675"/>
      <c r="DF2" s="675"/>
      <c r="DG2" s="675"/>
      <c r="DH2" s="675"/>
      <c r="DI2" s="703" t="s">
        <v>9</v>
      </c>
      <c r="DK2" s="16"/>
      <c r="DL2" s="702" t="s">
        <v>304</v>
      </c>
      <c r="DM2" s="675"/>
      <c r="DN2" s="675"/>
      <c r="DO2" s="675"/>
      <c r="DP2" s="675"/>
      <c r="DQ2" s="675"/>
      <c r="DR2" s="675"/>
      <c r="DS2" s="675"/>
      <c r="DT2" s="675"/>
      <c r="DU2" s="675"/>
      <c r="DV2" s="675"/>
      <c r="DW2" s="675"/>
      <c r="DX2" s="703" t="s">
        <v>9</v>
      </c>
    </row>
    <row r="3" spans="1:128" ht="18.75" customHeight="1">
      <c r="B3" s="19"/>
      <c r="C3" s="677"/>
      <c r="D3" s="677"/>
      <c r="E3" s="677"/>
      <c r="F3" s="677"/>
      <c r="G3" s="677"/>
      <c r="H3" s="704"/>
      <c r="J3" s="19"/>
      <c r="K3" s="677"/>
      <c r="L3" s="677"/>
      <c r="M3" s="677"/>
      <c r="N3" s="677"/>
      <c r="O3" s="677"/>
      <c r="P3" s="677"/>
      <c r="Q3" s="677"/>
      <c r="R3" s="677"/>
      <c r="S3" s="677"/>
      <c r="T3" s="677"/>
      <c r="U3" s="677"/>
      <c r="V3" s="677"/>
      <c r="W3" s="704"/>
      <c r="Y3" s="19"/>
      <c r="Z3" s="677"/>
      <c r="AA3" s="677"/>
      <c r="AB3" s="677"/>
      <c r="AC3" s="677"/>
      <c r="AD3" s="677"/>
      <c r="AE3" s="677"/>
      <c r="AF3" s="677"/>
      <c r="AG3" s="677"/>
      <c r="AH3" s="677"/>
      <c r="AI3" s="677"/>
      <c r="AJ3" s="677"/>
      <c r="AK3" s="677"/>
      <c r="AL3" s="704"/>
      <c r="AN3" s="19"/>
      <c r="AO3" s="677"/>
      <c r="AP3" s="677"/>
      <c r="AQ3" s="677"/>
      <c r="AR3" s="677"/>
      <c r="AS3" s="677"/>
      <c r="AT3" s="677"/>
      <c r="AU3" s="677"/>
      <c r="AV3" s="677"/>
      <c r="AW3" s="677"/>
      <c r="AX3" s="677"/>
      <c r="AY3" s="677"/>
      <c r="AZ3" s="677"/>
      <c r="BA3" s="704"/>
      <c r="BC3" s="19"/>
      <c r="BD3" s="677"/>
      <c r="BE3" s="677"/>
      <c r="BF3" s="677"/>
      <c r="BG3" s="677"/>
      <c r="BH3" s="677"/>
      <c r="BI3" s="677"/>
      <c r="BJ3" s="677"/>
      <c r="BK3" s="677"/>
      <c r="BL3" s="677"/>
      <c r="BM3" s="677"/>
      <c r="BN3" s="677"/>
      <c r="BO3" s="677"/>
      <c r="BP3" s="704"/>
      <c r="BR3" s="19"/>
      <c r="BS3" s="677"/>
      <c r="BT3" s="677"/>
      <c r="BU3" s="677"/>
      <c r="BV3" s="677"/>
      <c r="BW3" s="677"/>
      <c r="BX3" s="677"/>
      <c r="BY3" s="677"/>
      <c r="BZ3" s="677"/>
      <c r="CA3" s="677"/>
      <c r="CB3" s="677"/>
      <c r="CC3" s="677"/>
      <c r="CD3" s="677"/>
      <c r="CE3" s="704"/>
      <c r="CG3" s="19"/>
      <c r="CH3" s="677"/>
      <c r="CI3" s="677"/>
      <c r="CJ3" s="677"/>
      <c r="CK3" s="677"/>
      <c r="CL3" s="677"/>
      <c r="CM3" s="677"/>
      <c r="CN3" s="677"/>
      <c r="CO3" s="677"/>
      <c r="CP3" s="677"/>
      <c r="CQ3" s="677"/>
      <c r="CR3" s="677"/>
      <c r="CS3" s="677"/>
      <c r="CT3" s="704"/>
      <c r="CV3" s="19"/>
      <c r="CW3" s="677"/>
      <c r="CX3" s="677"/>
      <c r="CY3" s="677"/>
      <c r="CZ3" s="677"/>
      <c r="DA3" s="677"/>
      <c r="DB3" s="677"/>
      <c r="DC3" s="677"/>
      <c r="DD3" s="677"/>
      <c r="DE3" s="677"/>
      <c r="DF3" s="677"/>
      <c r="DG3" s="677"/>
      <c r="DH3" s="677"/>
      <c r="DI3" s="704"/>
      <c r="DK3" s="19"/>
      <c r="DL3" s="677"/>
      <c r="DM3" s="677"/>
      <c r="DN3" s="677"/>
      <c r="DO3" s="677"/>
      <c r="DP3" s="677"/>
      <c r="DQ3" s="677"/>
      <c r="DR3" s="677"/>
      <c r="DS3" s="677"/>
      <c r="DT3" s="677"/>
      <c r="DU3" s="677"/>
      <c r="DV3" s="677"/>
      <c r="DW3" s="677"/>
      <c r="DX3" s="704"/>
    </row>
    <row r="4" spans="1:128">
      <c r="B4" s="705" t="s">
        <v>85</v>
      </c>
      <c r="C4" s="705" t="s">
        <v>305</v>
      </c>
      <c r="D4" s="705" t="s">
        <v>24</v>
      </c>
      <c r="E4" s="782" t="s">
        <v>306</v>
      </c>
      <c r="F4" s="782" t="s">
        <v>307</v>
      </c>
      <c r="G4" s="705"/>
      <c r="H4" s="705" t="s">
        <v>8</v>
      </c>
      <c r="J4" s="778" t="s">
        <v>314</v>
      </c>
      <c r="K4" s="135" t="s">
        <v>3</v>
      </c>
      <c r="L4" s="135" t="s">
        <v>4</v>
      </c>
      <c r="M4" s="135" t="s">
        <v>312</v>
      </c>
      <c r="N4" s="135" t="s">
        <v>49</v>
      </c>
      <c r="O4" s="780" t="s">
        <v>267</v>
      </c>
      <c r="P4" s="781"/>
      <c r="Q4" s="780" t="s">
        <v>24</v>
      </c>
      <c r="R4" s="781"/>
      <c r="S4" s="780" t="s">
        <v>272</v>
      </c>
      <c r="T4" s="781"/>
      <c r="U4" s="780" t="s">
        <v>278</v>
      </c>
      <c r="V4" s="781"/>
      <c r="W4" s="776" t="s">
        <v>8</v>
      </c>
      <c r="Y4" s="778" t="s">
        <v>314</v>
      </c>
      <c r="Z4" s="135" t="s">
        <v>3</v>
      </c>
      <c r="AA4" s="135" t="s">
        <v>4</v>
      </c>
      <c r="AB4" s="135" t="s">
        <v>312</v>
      </c>
      <c r="AC4" s="135" t="s">
        <v>49</v>
      </c>
      <c r="AD4" s="780" t="s">
        <v>267</v>
      </c>
      <c r="AE4" s="781"/>
      <c r="AF4" s="780" t="s">
        <v>24</v>
      </c>
      <c r="AG4" s="781"/>
      <c r="AH4" s="780" t="s">
        <v>272</v>
      </c>
      <c r="AI4" s="781"/>
      <c r="AJ4" s="780" t="s">
        <v>278</v>
      </c>
      <c r="AK4" s="781"/>
      <c r="AL4" s="776" t="s">
        <v>8</v>
      </c>
      <c r="AN4" s="778" t="s">
        <v>314</v>
      </c>
      <c r="AO4" s="135" t="s">
        <v>3</v>
      </c>
      <c r="AP4" s="135" t="s">
        <v>4</v>
      </c>
      <c r="AQ4" s="135" t="s">
        <v>312</v>
      </c>
      <c r="AR4" s="135" t="s">
        <v>49</v>
      </c>
      <c r="AS4" s="780" t="s">
        <v>267</v>
      </c>
      <c r="AT4" s="781"/>
      <c r="AU4" s="780" t="s">
        <v>24</v>
      </c>
      <c r="AV4" s="781"/>
      <c r="AW4" s="780" t="s">
        <v>272</v>
      </c>
      <c r="AX4" s="781"/>
      <c r="AY4" s="780" t="s">
        <v>278</v>
      </c>
      <c r="AZ4" s="781"/>
      <c r="BA4" s="776" t="s">
        <v>8</v>
      </c>
      <c r="BC4" s="778" t="s">
        <v>314</v>
      </c>
      <c r="BD4" s="135" t="s">
        <v>3</v>
      </c>
      <c r="BE4" s="135" t="s">
        <v>4</v>
      </c>
      <c r="BF4" s="135" t="s">
        <v>312</v>
      </c>
      <c r="BG4" s="135" t="s">
        <v>49</v>
      </c>
      <c r="BH4" s="780" t="s">
        <v>267</v>
      </c>
      <c r="BI4" s="781"/>
      <c r="BJ4" s="780" t="s">
        <v>24</v>
      </c>
      <c r="BK4" s="781"/>
      <c r="BL4" s="780" t="s">
        <v>272</v>
      </c>
      <c r="BM4" s="781"/>
      <c r="BN4" s="780" t="s">
        <v>278</v>
      </c>
      <c r="BO4" s="781"/>
      <c r="BP4" s="776" t="s">
        <v>8</v>
      </c>
      <c r="BR4" s="778" t="s">
        <v>314</v>
      </c>
      <c r="BS4" s="135" t="s">
        <v>3</v>
      </c>
      <c r="BT4" s="135" t="s">
        <v>4</v>
      </c>
      <c r="BU4" s="135" t="s">
        <v>312</v>
      </c>
      <c r="BV4" s="135" t="s">
        <v>49</v>
      </c>
      <c r="BW4" s="780" t="s">
        <v>267</v>
      </c>
      <c r="BX4" s="781"/>
      <c r="BY4" s="780" t="s">
        <v>24</v>
      </c>
      <c r="BZ4" s="781"/>
      <c r="CA4" s="780" t="s">
        <v>272</v>
      </c>
      <c r="CB4" s="781"/>
      <c r="CC4" s="780" t="s">
        <v>278</v>
      </c>
      <c r="CD4" s="781"/>
      <c r="CE4" s="776" t="s">
        <v>8</v>
      </c>
      <c r="CG4" s="778" t="s">
        <v>314</v>
      </c>
      <c r="CH4" s="135" t="s">
        <v>3</v>
      </c>
      <c r="CI4" s="135" t="s">
        <v>4</v>
      </c>
      <c r="CJ4" s="135" t="s">
        <v>312</v>
      </c>
      <c r="CK4" s="135" t="s">
        <v>49</v>
      </c>
      <c r="CL4" s="780" t="s">
        <v>267</v>
      </c>
      <c r="CM4" s="781"/>
      <c r="CN4" s="780" t="s">
        <v>24</v>
      </c>
      <c r="CO4" s="781"/>
      <c r="CP4" s="780" t="s">
        <v>272</v>
      </c>
      <c r="CQ4" s="781"/>
      <c r="CR4" s="780" t="s">
        <v>278</v>
      </c>
      <c r="CS4" s="781"/>
      <c r="CT4" s="776" t="s">
        <v>8</v>
      </c>
      <c r="CV4" s="778" t="s">
        <v>314</v>
      </c>
      <c r="CW4" s="135" t="s">
        <v>3</v>
      </c>
      <c r="CX4" s="135" t="s">
        <v>4</v>
      </c>
      <c r="CY4" s="135" t="s">
        <v>312</v>
      </c>
      <c r="CZ4" s="135" t="s">
        <v>49</v>
      </c>
      <c r="DA4" s="780" t="s">
        <v>267</v>
      </c>
      <c r="DB4" s="781"/>
      <c r="DC4" s="780" t="s">
        <v>24</v>
      </c>
      <c r="DD4" s="781"/>
      <c r="DE4" s="780" t="s">
        <v>272</v>
      </c>
      <c r="DF4" s="781"/>
      <c r="DG4" s="780" t="s">
        <v>278</v>
      </c>
      <c r="DH4" s="781"/>
      <c r="DI4" s="776" t="s">
        <v>8</v>
      </c>
      <c r="DK4" s="778" t="s">
        <v>314</v>
      </c>
      <c r="DL4" s="135" t="s">
        <v>3</v>
      </c>
      <c r="DM4" s="135" t="s">
        <v>4</v>
      </c>
      <c r="DN4" s="135" t="s">
        <v>312</v>
      </c>
      <c r="DO4" s="135" t="s">
        <v>49</v>
      </c>
      <c r="DP4" s="780" t="s">
        <v>267</v>
      </c>
      <c r="DQ4" s="781"/>
      <c r="DR4" s="780" t="s">
        <v>24</v>
      </c>
      <c r="DS4" s="781"/>
      <c r="DT4" s="780" t="s">
        <v>272</v>
      </c>
      <c r="DU4" s="781"/>
      <c r="DV4" s="780" t="s">
        <v>278</v>
      </c>
      <c r="DW4" s="781"/>
      <c r="DX4" s="776" t="s">
        <v>8</v>
      </c>
    </row>
    <row r="5" spans="1:128" ht="19.5" thickBot="1">
      <c r="B5" s="706"/>
      <c r="C5" s="706"/>
      <c r="D5" s="706"/>
      <c r="E5" s="706"/>
      <c r="F5" s="706"/>
      <c r="G5" s="706"/>
      <c r="H5" s="706"/>
      <c r="J5" s="779"/>
      <c r="K5" s="66"/>
      <c r="L5" s="66"/>
      <c r="M5" s="66"/>
      <c r="N5" s="66"/>
      <c r="O5" s="140" t="s">
        <v>313</v>
      </c>
      <c r="P5" s="147" t="s">
        <v>52</v>
      </c>
      <c r="Q5" s="148" t="s">
        <v>313</v>
      </c>
      <c r="R5" s="147" t="s">
        <v>52</v>
      </c>
      <c r="S5" s="148" t="s">
        <v>313</v>
      </c>
      <c r="T5" s="147" t="s">
        <v>52</v>
      </c>
      <c r="U5" s="148" t="s">
        <v>313</v>
      </c>
      <c r="V5" s="147" t="s">
        <v>52</v>
      </c>
      <c r="W5" s="777"/>
      <c r="Y5" s="779"/>
      <c r="Z5" s="66"/>
      <c r="AA5" s="66"/>
      <c r="AB5" s="66"/>
      <c r="AC5" s="66"/>
      <c r="AD5" s="140" t="s">
        <v>313</v>
      </c>
      <c r="AE5" s="147" t="s">
        <v>52</v>
      </c>
      <c r="AF5" s="148" t="s">
        <v>313</v>
      </c>
      <c r="AG5" s="147" t="s">
        <v>52</v>
      </c>
      <c r="AH5" s="148" t="s">
        <v>313</v>
      </c>
      <c r="AI5" s="147" t="s">
        <v>52</v>
      </c>
      <c r="AJ5" s="148" t="s">
        <v>313</v>
      </c>
      <c r="AK5" s="147" t="s">
        <v>52</v>
      </c>
      <c r="AL5" s="777"/>
      <c r="AN5" s="779"/>
      <c r="AO5" s="66"/>
      <c r="AP5" s="66"/>
      <c r="AQ5" s="66"/>
      <c r="AR5" s="66"/>
      <c r="AS5" s="140" t="s">
        <v>313</v>
      </c>
      <c r="AT5" s="147" t="s">
        <v>52</v>
      </c>
      <c r="AU5" s="148" t="s">
        <v>313</v>
      </c>
      <c r="AV5" s="147" t="s">
        <v>52</v>
      </c>
      <c r="AW5" s="148" t="s">
        <v>313</v>
      </c>
      <c r="AX5" s="147" t="s">
        <v>52</v>
      </c>
      <c r="AY5" s="148" t="s">
        <v>313</v>
      </c>
      <c r="AZ5" s="147" t="s">
        <v>52</v>
      </c>
      <c r="BA5" s="777"/>
      <c r="BC5" s="779"/>
      <c r="BD5" s="66"/>
      <c r="BE5" s="66"/>
      <c r="BF5" s="66"/>
      <c r="BG5" s="66"/>
      <c r="BH5" s="140" t="s">
        <v>313</v>
      </c>
      <c r="BI5" s="147" t="s">
        <v>52</v>
      </c>
      <c r="BJ5" s="148" t="s">
        <v>313</v>
      </c>
      <c r="BK5" s="147" t="s">
        <v>52</v>
      </c>
      <c r="BL5" s="148" t="s">
        <v>313</v>
      </c>
      <c r="BM5" s="147" t="s">
        <v>52</v>
      </c>
      <c r="BN5" s="148" t="s">
        <v>313</v>
      </c>
      <c r="BO5" s="147" t="s">
        <v>52</v>
      </c>
      <c r="BP5" s="777"/>
      <c r="BR5" s="779"/>
      <c r="BS5" s="66"/>
      <c r="BT5" s="66"/>
      <c r="BU5" s="66"/>
      <c r="BV5" s="66"/>
      <c r="BW5" s="140" t="s">
        <v>313</v>
      </c>
      <c r="BX5" s="147" t="s">
        <v>52</v>
      </c>
      <c r="BY5" s="148" t="s">
        <v>313</v>
      </c>
      <c r="BZ5" s="147" t="s">
        <v>52</v>
      </c>
      <c r="CA5" s="148" t="s">
        <v>313</v>
      </c>
      <c r="CB5" s="147" t="s">
        <v>52</v>
      </c>
      <c r="CC5" s="148" t="s">
        <v>313</v>
      </c>
      <c r="CD5" s="147" t="s">
        <v>52</v>
      </c>
      <c r="CE5" s="777"/>
      <c r="CG5" s="779"/>
      <c r="CH5" s="66"/>
      <c r="CI5" s="66"/>
      <c r="CJ5" s="66"/>
      <c r="CK5" s="66"/>
      <c r="CL5" s="140" t="s">
        <v>313</v>
      </c>
      <c r="CM5" s="147" t="s">
        <v>52</v>
      </c>
      <c r="CN5" s="148" t="s">
        <v>313</v>
      </c>
      <c r="CO5" s="147" t="s">
        <v>52</v>
      </c>
      <c r="CP5" s="148" t="s">
        <v>313</v>
      </c>
      <c r="CQ5" s="147" t="s">
        <v>52</v>
      </c>
      <c r="CR5" s="148" t="s">
        <v>313</v>
      </c>
      <c r="CS5" s="147" t="s">
        <v>52</v>
      </c>
      <c r="CT5" s="777"/>
      <c r="CV5" s="779"/>
      <c r="CW5" s="66"/>
      <c r="CX5" s="66"/>
      <c r="CY5" s="66"/>
      <c r="CZ5" s="66"/>
      <c r="DA5" s="140" t="s">
        <v>313</v>
      </c>
      <c r="DB5" s="147" t="s">
        <v>52</v>
      </c>
      <c r="DC5" s="148" t="s">
        <v>313</v>
      </c>
      <c r="DD5" s="147" t="s">
        <v>52</v>
      </c>
      <c r="DE5" s="148" t="s">
        <v>313</v>
      </c>
      <c r="DF5" s="147" t="s">
        <v>52</v>
      </c>
      <c r="DG5" s="148" t="s">
        <v>313</v>
      </c>
      <c r="DH5" s="147" t="s">
        <v>52</v>
      </c>
      <c r="DI5" s="777"/>
      <c r="DK5" s="779"/>
      <c r="DL5" s="66"/>
      <c r="DM5" s="66"/>
      <c r="DN5" s="66"/>
      <c r="DO5" s="66"/>
      <c r="DP5" s="140" t="s">
        <v>313</v>
      </c>
      <c r="DQ5" s="147" t="s">
        <v>52</v>
      </c>
      <c r="DR5" s="148" t="s">
        <v>313</v>
      </c>
      <c r="DS5" s="147" t="s">
        <v>52</v>
      </c>
      <c r="DT5" s="148" t="s">
        <v>313</v>
      </c>
      <c r="DU5" s="147" t="s">
        <v>52</v>
      </c>
      <c r="DV5" s="148" t="s">
        <v>313</v>
      </c>
      <c r="DW5" s="147" t="s">
        <v>52</v>
      </c>
      <c r="DX5" s="777"/>
    </row>
    <row r="6" spans="1:128" ht="19.5" customHeight="1" thickTop="1">
      <c r="B6" s="671" t="s">
        <v>308</v>
      </c>
      <c r="C6" s="86">
        <f>+P47</f>
        <v>0</v>
      </c>
      <c r="D6" s="86">
        <f>+R47</f>
        <v>0</v>
      </c>
      <c r="E6" s="86">
        <f>+T47</f>
        <v>0</v>
      </c>
      <c r="F6" s="86">
        <f>+V47</f>
        <v>0</v>
      </c>
      <c r="G6" s="86"/>
      <c r="H6" s="22"/>
      <c r="J6" s="767"/>
      <c r="K6" s="774"/>
      <c r="L6" s="136"/>
      <c r="M6" s="136"/>
      <c r="N6" s="136"/>
      <c r="O6" s="141"/>
      <c r="P6" s="137"/>
      <c r="Q6" s="141"/>
      <c r="R6" s="137"/>
      <c r="S6" s="141"/>
      <c r="T6" s="137"/>
      <c r="U6" s="141"/>
      <c r="V6" s="137"/>
      <c r="W6" s="162"/>
      <c r="Y6" s="771" t="s">
        <v>315</v>
      </c>
      <c r="Z6" s="774" t="s">
        <v>252</v>
      </c>
      <c r="AA6" s="136"/>
      <c r="AB6" s="136">
        <v>0.1</v>
      </c>
      <c r="AC6" s="136">
        <f>+IF(AB6&gt;0,ROUND(AA6*(1+AB6),2),AA6)</f>
        <v>0</v>
      </c>
      <c r="AD6" s="141">
        <v>2.3E-2</v>
      </c>
      <c r="AE6" s="137">
        <f>+IF(AND(AC6&gt;0,AD6&gt;0),AC6*AD6,0)</f>
        <v>0</v>
      </c>
      <c r="AF6" s="141"/>
      <c r="AG6" s="137">
        <f>+IF(AND(AC6&gt;0,AF6&gt;0),AC6*AF6,0)</f>
        <v>0</v>
      </c>
      <c r="AH6" s="141"/>
      <c r="AI6" s="137">
        <f>+IF(AND(AC6&gt;0,AH6&gt;0),AC6*AH6,0)</f>
        <v>0</v>
      </c>
      <c r="AJ6" s="141">
        <f>+IF(AND(Z6&gt;=1,Z6&lt;=6),ROUND(AB6*AE6,3),0)</f>
        <v>0</v>
      </c>
      <c r="AK6" s="137">
        <f>+IF(AND(AC6&gt;0,AJ6&gt;0),AC6*AJ6,0)</f>
        <v>0</v>
      </c>
      <c r="AL6" s="162" t="s">
        <v>755</v>
      </c>
      <c r="AN6" s="771" t="s">
        <v>321</v>
      </c>
      <c r="AO6" s="774" t="s">
        <v>252</v>
      </c>
      <c r="AP6" s="136"/>
      <c r="AQ6" s="136">
        <v>0.1</v>
      </c>
      <c r="AR6" s="136">
        <f>+IF(AQ6&gt;0,ROUND(AP6*(1+AQ6),2),AP6)</f>
        <v>0</v>
      </c>
      <c r="AS6" s="141">
        <v>2.5999999999999999E-2</v>
      </c>
      <c r="AT6" s="137">
        <f>+IF(AND(AR6&gt;0,AS6&gt;0),AR6*AS6,0)</f>
        <v>0</v>
      </c>
      <c r="AU6" s="141"/>
      <c r="AV6" s="137">
        <f>+IF(AND(AR6&gt;0,AU6&gt;0),AR6*AU6,0)</f>
        <v>0</v>
      </c>
      <c r="AW6" s="141"/>
      <c r="AX6" s="137">
        <f>+IF(AND(AR6&gt;0,AW6&gt;0),AR6*AW6,0)</f>
        <v>0</v>
      </c>
      <c r="AY6" s="141">
        <f>+IF(AND(AO6&gt;=1,AO6&lt;=6),ROUND(AQ6*AT6,3),0)</f>
        <v>0</v>
      </c>
      <c r="AZ6" s="137">
        <f>+IF(AND(AR6&gt;0,AY6&gt;0),AR6*AY6,0)</f>
        <v>0</v>
      </c>
      <c r="BA6" s="162" t="s">
        <v>753</v>
      </c>
      <c r="BC6" s="771" t="s">
        <v>330</v>
      </c>
      <c r="BD6" s="769" t="s">
        <v>331</v>
      </c>
      <c r="BE6" s="136"/>
      <c r="BF6" s="136"/>
      <c r="BG6" s="136">
        <f t="shared" ref="BG6:BG7" si="0">+IF(BF6&gt;0,ROUND(BE6*(1+BF6),2),BE6)</f>
        <v>0</v>
      </c>
      <c r="BH6" s="143">
        <v>0.25</v>
      </c>
      <c r="BI6" s="145">
        <f>+IF(AND(BG6&gt;0,BH6&gt;0),BG6*BH6,0)</f>
        <v>0</v>
      </c>
      <c r="BJ6" s="143">
        <v>0.35</v>
      </c>
      <c r="BK6" s="145">
        <f>+IF(AND(BG6&gt;0,BJ6&gt;0),BG6*BJ6,0)</f>
        <v>0</v>
      </c>
      <c r="BL6" s="143"/>
      <c r="BM6" s="145">
        <f>+IF(AND(BG6&gt;0,BL6&gt;0),BG6*BL6,0)</f>
        <v>0</v>
      </c>
      <c r="BN6" s="143">
        <f>+IF(AND(BD6&gt;=1,BD6&lt;=6),ROUND(BF6*BI6,3),0)</f>
        <v>0</v>
      </c>
      <c r="BO6" s="145">
        <f>+IF(AND(BG6&gt;0,BN6&gt;0),BG6*BN6,0)</f>
        <v>0</v>
      </c>
      <c r="BP6" s="162" t="s">
        <v>752</v>
      </c>
      <c r="BR6" s="767"/>
      <c r="BS6" s="774"/>
      <c r="BT6" s="136"/>
      <c r="BU6" s="136"/>
      <c r="BV6" s="136"/>
      <c r="BW6" s="141"/>
      <c r="BX6" s="137"/>
      <c r="BY6" s="141"/>
      <c r="BZ6" s="137"/>
      <c r="CA6" s="141"/>
      <c r="CB6" s="137"/>
      <c r="CC6" s="141"/>
      <c r="CD6" s="137"/>
      <c r="CE6" s="162"/>
      <c r="CG6" s="767" t="s">
        <v>309</v>
      </c>
      <c r="CH6" s="774" t="s">
        <v>242</v>
      </c>
      <c r="CI6" s="136"/>
      <c r="CJ6" s="136"/>
      <c r="CK6" s="136">
        <f>+IF(CJ6&gt;0,ROUND(CI6*(1+CJ6),2),CI6)</f>
        <v>0</v>
      </c>
      <c r="CL6" s="141">
        <f>(2*2)*20%</f>
        <v>0.8</v>
      </c>
      <c r="CM6" s="137">
        <f>+IF(AND(CK6&gt;0,CL6&gt;0),CK6*CL6,0)</f>
        <v>0</v>
      </c>
      <c r="CN6" s="141"/>
      <c r="CO6" s="137">
        <f>+IF(AND(CK6&gt;0,CN6&gt;0),CK6*CN6,0)</f>
        <v>0</v>
      </c>
      <c r="CP6" s="141"/>
      <c r="CQ6" s="137">
        <f>+IF(AND(CK6&gt;0,CP6&gt;0),CK6*CP6,0)</f>
        <v>0</v>
      </c>
      <c r="CR6" s="141">
        <f>+IF(AND(CH6&gt;=1,CH6&lt;=6),ROUND(CJ6*CM6,3),0)</f>
        <v>0</v>
      </c>
      <c r="CS6" s="137">
        <f>+IF(AND(CK6&gt;0,CR6&gt;0),CK6*CR6,0)</f>
        <v>0</v>
      </c>
      <c r="CT6" s="162" t="s">
        <v>323</v>
      </c>
      <c r="CV6" s="771" t="s">
        <v>315</v>
      </c>
      <c r="CW6" s="774" t="s">
        <v>17</v>
      </c>
      <c r="CX6" s="136"/>
      <c r="CY6" s="136"/>
      <c r="CZ6" s="136">
        <f>+IF(CY6&gt;0,ROUND(CX6*(1+CY6),2),CX6)</f>
        <v>0</v>
      </c>
      <c r="DA6" s="141">
        <f>0.023*20%</f>
        <v>4.5999999999999999E-3</v>
      </c>
      <c r="DB6" s="137">
        <f>+IF(AND(CZ6&gt;0,DA6&gt;0),CZ6*DA6,0)</f>
        <v>0</v>
      </c>
      <c r="DC6" s="141"/>
      <c r="DD6" s="137">
        <f>+IF(AND(CZ6&gt;0,DC6&gt;0),CZ6*DC6,0)</f>
        <v>0</v>
      </c>
      <c r="DE6" s="141"/>
      <c r="DF6" s="137">
        <f>+IF(AND(CZ6&gt;0,DE6&gt;0),CZ6*DE6,0)</f>
        <v>0</v>
      </c>
      <c r="DG6" s="141">
        <f>+IF(AND(CW6&gt;=1,CW6&lt;=6),ROUND(CY6*DB6,3),0)</f>
        <v>0</v>
      </c>
      <c r="DH6" s="137">
        <f>+IF(AND(CZ6&gt;0,DG6&gt;0),CZ6*DG6,0)</f>
        <v>0</v>
      </c>
      <c r="DI6" s="162" t="s">
        <v>632</v>
      </c>
      <c r="DK6" s="772" t="s">
        <v>322</v>
      </c>
      <c r="DL6" s="774" t="s">
        <v>22</v>
      </c>
      <c r="DM6" s="136"/>
      <c r="DN6" s="136"/>
      <c r="DO6" s="136">
        <f>+IF(DN6&gt;0,ROUND(DM6*(1+DN6),2),DM6)</f>
        <v>0</v>
      </c>
      <c r="DP6" s="141">
        <f>1.2*20%</f>
        <v>0.24</v>
      </c>
      <c r="DQ6" s="137">
        <f>+IF(AND(DO6&gt;0,DP6&gt;0),DO6*DP6,0)</f>
        <v>0</v>
      </c>
      <c r="DR6" s="141">
        <f>2*20%</f>
        <v>0.4</v>
      </c>
      <c r="DS6" s="137">
        <f>+IF(AND(DO6&gt;0,DR6&gt;0),DO6*DR6,0)</f>
        <v>0</v>
      </c>
      <c r="DT6" s="141"/>
      <c r="DU6" s="137">
        <f>+IF(AND(DO6&gt;0,DT6&gt;0),DO6*DT6,0)</f>
        <v>0</v>
      </c>
      <c r="DV6" s="141">
        <f>+IF(AND(DL6&gt;=1,DL6&lt;=6),ROUND(DN6*DQ6,3),0)</f>
        <v>0</v>
      </c>
      <c r="DW6" s="137">
        <f>+IF(AND(DO6&gt;0,DV6&gt;0),DO6*DV6,0)</f>
        <v>0</v>
      </c>
      <c r="DX6" s="162" t="s">
        <v>633</v>
      </c>
    </row>
    <row r="7" spans="1:128">
      <c r="B7" s="662"/>
      <c r="C7" s="87">
        <f>+P48</f>
        <v>0</v>
      </c>
      <c r="D7" s="87">
        <f>+R48</f>
        <v>0</v>
      </c>
      <c r="E7" s="87">
        <f>+T48</f>
        <v>0</v>
      </c>
      <c r="F7" s="87">
        <f>+V48</f>
        <v>0</v>
      </c>
      <c r="G7" s="87"/>
      <c r="H7" s="12"/>
      <c r="J7" s="768"/>
      <c r="K7" s="775"/>
      <c r="L7" s="138"/>
      <c r="M7" s="139"/>
      <c r="N7" s="139"/>
      <c r="O7" s="142"/>
      <c r="P7" s="149"/>
      <c r="Q7" s="142"/>
      <c r="R7" s="149"/>
      <c r="S7" s="142"/>
      <c r="T7" s="149"/>
      <c r="U7" s="142"/>
      <c r="V7" s="149"/>
      <c r="W7" s="166"/>
      <c r="Y7" s="768"/>
      <c r="Z7" s="775"/>
      <c r="AA7" s="138"/>
      <c r="AB7" s="139"/>
      <c r="AC7" s="139">
        <f>+IF(AB7&gt;0,ROUND(AA7*(1+AB7),2),AA7)</f>
        <v>0</v>
      </c>
      <c r="AD7" s="142"/>
      <c r="AE7" s="149">
        <f>+IF(AND(AC7&gt;0,AD7&gt;0),AC7*AD7,0)</f>
        <v>0</v>
      </c>
      <c r="AF7" s="142"/>
      <c r="AG7" s="149">
        <f>+IF(AND(AC7&gt;0,AF7&gt;0),AC7*AF7,0)</f>
        <v>0</v>
      </c>
      <c r="AH7" s="142"/>
      <c r="AI7" s="149">
        <f>+IF(AND(AC7&gt;0,AH7&gt;0),AC7*AH7,0)</f>
        <v>0</v>
      </c>
      <c r="AJ7" s="142">
        <f>+IF(AND(Z7&gt;=1,Z7&lt;=6),ROUND(AB7*AE7,3),0)</f>
        <v>0</v>
      </c>
      <c r="AK7" s="149">
        <f>+IF(AND(AC7&gt;0,AJ7&gt;0),AC7*AJ7,0)</f>
        <v>0</v>
      </c>
      <c r="AL7" s="166" t="s">
        <v>325</v>
      </c>
      <c r="AN7" s="768"/>
      <c r="AO7" s="775"/>
      <c r="AP7" s="138"/>
      <c r="AQ7" s="139"/>
      <c r="AR7" s="139">
        <f>+IF(AQ7&gt;0,ROUND(AP7*(1+AQ7),2),AP7)</f>
        <v>0</v>
      </c>
      <c r="AS7" s="142"/>
      <c r="AT7" s="149">
        <f>+IF(AND(AR7&gt;0,AS7&gt;0),AR7*AS7,0)</f>
        <v>0</v>
      </c>
      <c r="AU7" s="142"/>
      <c r="AV7" s="149">
        <f>+IF(AND(AR7&gt;0,AU7&gt;0),AR7*AU7,0)</f>
        <v>0</v>
      </c>
      <c r="AW7" s="142"/>
      <c r="AX7" s="149">
        <f>+IF(AND(AR7&gt;0,AW7&gt;0),AR7*AW7,0)</f>
        <v>0</v>
      </c>
      <c r="AY7" s="142">
        <f>+IF(AND(AO7&gt;=1,AO7&lt;=6),ROUND(AQ7*AT7,3),0)</f>
        <v>0</v>
      </c>
      <c r="AZ7" s="149">
        <f>+IF(AND(AR7&gt;0,AY7&gt;0),AR7*AY7,0)</f>
        <v>0</v>
      </c>
      <c r="BA7" s="166" t="s">
        <v>327</v>
      </c>
      <c r="BC7" s="768"/>
      <c r="BD7" s="770"/>
      <c r="BE7" s="138"/>
      <c r="BF7" s="139"/>
      <c r="BG7" s="139">
        <f t="shared" si="0"/>
        <v>0</v>
      </c>
      <c r="BH7" s="144"/>
      <c r="BI7" s="146">
        <f>+IF(AND(BG7&gt;0,BH7&gt;0),BG7*BH7,0)</f>
        <v>0</v>
      </c>
      <c r="BJ7" s="144"/>
      <c r="BK7" s="146">
        <f>+IF(AND(BG7&gt;0,BJ7&gt;0),BG7*BJ7,0)</f>
        <v>0</v>
      </c>
      <c r="BL7" s="144"/>
      <c r="BM7" s="146">
        <f>+IF(AND(BG7&gt;0,BL7&gt;0),BG7*BL7,0)</f>
        <v>0</v>
      </c>
      <c r="BN7" s="144">
        <f>+IF(AND(BD7&gt;=1,BD7&lt;=6),ROUND(BF7*BI7,3),0)</f>
        <v>0</v>
      </c>
      <c r="BO7" s="146">
        <f>+IF(AND(BG7&gt;0,BN7&gt;0),BG7*BN7,0)</f>
        <v>0</v>
      </c>
      <c r="BP7" s="166" t="s">
        <v>329</v>
      </c>
      <c r="BR7" s="768"/>
      <c r="BS7" s="775"/>
      <c r="BT7" s="138"/>
      <c r="BU7" s="139"/>
      <c r="BV7" s="139"/>
      <c r="BW7" s="142"/>
      <c r="BX7" s="149"/>
      <c r="BY7" s="142"/>
      <c r="BZ7" s="149"/>
      <c r="CA7" s="142"/>
      <c r="CB7" s="149"/>
      <c r="CC7" s="142"/>
      <c r="CD7" s="149"/>
      <c r="CE7" s="163"/>
      <c r="CG7" s="768"/>
      <c r="CH7" s="775"/>
      <c r="CI7" s="138"/>
      <c r="CJ7" s="139"/>
      <c r="CK7" s="139">
        <f>+IF(CJ7&gt;0,ROUND(CI7*(1+CJ7),2),CI7)</f>
        <v>0</v>
      </c>
      <c r="CL7" s="142"/>
      <c r="CM7" s="149">
        <f>+IF(AND(CK7&gt;0,CL7&gt;0),CK7*CL7,0)</f>
        <v>0</v>
      </c>
      <c r="CN7" s="142"/>
      <c r="CO7" s="149">
        <f>+IF(AND(CK7&gt;0,CN7&gt;0),CK7*CN7,0)</f>
        <v>0</v>
      </c>
      <c r="CP7" s="142"/>
      <c r="CQ7" s="149">
        <f>+IF(AND(CK7&gt;0,CP7&gt;0),CK7*CP7,0)</f>
        <v>0</v>
      </c>
      <c r="CR7" s="142">
        <f>+IF(AND(CH7&gt;=1,CH7&lt;=6),ROUND(CJ7*CM7,3),0)</f>
        <v>0</v>
      </c>
      <c r="CS7" s="149">
        <f>+IF(AND(CK7&gt;0,CR7&gt;0),CK7*CR7,0)</f>
        <v>0</v>
      </c>
      <c r="CT7" s="166"/>
      <c r="CV7" s="768"/>
      <c r="CW7" s="775"/>
      <c r="CX7" s="138"/>
      <c r="CY7" s="139"/>
      <c r="CZ7" s="139">
        <f>+IF(CY7&gt;0,ROUND(CX7*(1+CY7),2),CX7)</f>
        <v>0</v>
      </c>
      <c r="DA7" s="142"/>
      <c r="DB7" s="149">
        <f>+IF(AND(CZ7&gt;0,DA7&gt;0),CZ7*DA7,0)</f>
        <v>0</v>
      </c>
      <c r="DC7" s="142"/>
      <c r="DD7" s="149">
        <f>+IF(AND(CZ7&gt;0,DC7&gt;0),CZ7*DC7,0)</f>
        <v>0</v>
      </c>
      <c r="DE7" s="142"/>
      <c r="DF7" s="149">
        <f>+IF(AND(CZ7&gt;0,DE7&gt;0),CZ7*DE7,0)</f>
        <v>0</v>
      </c>
      <c r="DG7" s="142">
        <f>+IF(AND(CW7&gt;=1,CW7&lt;=6),ROUND(CY7*DB7,3),0)</f>
        <v>0</v>
      </c>
      <c r="DH7" s="149">
        <f>+IF(AND(CZ7&gt;0,DG7&gt;0),CZ7*DG7,0)</f>
        <v>0</v>
      </c>
      <c r="DI7" s="166" t="s">
        <v>325</v>
      </c>
      <c r="DK7" s="773"/>
      <c r="DL7" s="770"/>
      <c r="DM7" s="138"/>
      <c r="DN7" s="139"/>
      <c r="DO7" s="139">
        <f>+IF(DN7&gt;0,ROUND(DM7*(1+DN7),2),DM7)</f>
        <v>0</v>
      </c>
      <c r="DP7" s="142"/>
      <c r="DQ7" s="149">
        <f>+IF(AND(DO7&gt;0,DP7&gt;0),DO7*DP7,0)</f>
        <v>0</v>
      </c>
      <c r="DR7" s="142"/>
      <c r="DS7" s="149">
        <f>+IF(AND(DO7&gt;0,DR7&gt;0),DO7*DR7,0)</f>
        <v>0</v>
      </c>
      <c r="DT7" s="142"/>
      <c r="DU7" s="149">
        <f>+IF(AND(DO7&gt;0,DT7&gt;0),DO7*DT7,0)</f>
        <v>0</v>
      </c>
      <c r="DV7" s="142">
        <f>+IF(AND(DL7&gt;=1,DL7&lt;=6),ROUND(DN7*DQ7,3),0)</f>
        <v>0</v>
      </c>
      <c r="DW7" s="149">
        <f>+IF(AND(DO7&gt;0,DV7&gt;0),DO7*DV7,0)</f>
        <v>0</v>
      </c>
      <c r="DX7" s="166" t="s">
        <v>634</v>
      </c>
    </row>
    <row r="8" spans="1:128">
      <c r="B8" s="661" t="s">
        <v>299</v>
      </c>
      <c r="C8" s="88">
        <f>+AE47</f>
        <v>0</v>
      </c>
      <c r="D8" s="88">
        <f>+AG47</f>
        <v>0</v>
      </c>
      <c r="E8" s="88">
        <f>+AI47</f>
        <v>0</v>
      </c>
      <c r="F8" s="88">
        <f>+AK47</f>
        <v>0</v>
      </c>
      <c r="G8" s="88"/>
      <c r="H8" s="10"/>
      <c r="J8" s="767"/>
      <c r="K8" s="769"/>
      <c r="L8" s="136"/>
      <c r="M8" s="136"/>
      <c r="N8" s="136"/>
      <c r="O8" s="143"/>
      <c r="P8" s="145"/>
      <c r="Q8" s="143"/>
      <c r="R8" s="145"/>
      <c r="S8" s="143"/>
      <c r="T8" s="145"/>
      <c r="U8" s="143"/>
      <c r="V8" s="145"/>
      <c r="W8" s="162"/>
      <c r="Y8" s="771" t="s">
        <v>866</v>
      </c>
      <c r="Z8" s="769" t="s">
        <v>252</v>
      </c>
      <c r="AA8" s="136"/>
      <c r="AB8" s="136">
        <v>0.1</v>
      </c>
      <c r="AC8" s="136">
        <f t="shared" ref="AC8:AC43" si="1">+IF(AB8&gt;0,ROUND(AA8*(1+AB8),2),AA8)</f>
        <v>0</v>
      </c>
      <c r="AD8" s="143">
        <v>2.3E-2</v>
      </c>
      <c r="AE8" s="145">
        <f>+IF(AND(AC8&gt;0,AD8&gt;0),AC8*AD8,0)</f>
        <v>0</v>
      </c>
      <c r="AF8" s="143"/>
      <c r="AG8" s="145">
        <f>+IF(AND(AC8&gt;0,AF8&gt;0),AC8*AF8,0)</f>
        <v>0</v>
      </c>
      <c r="AH8" s="143"/>
      <c r="AI8" s="145">
        <f>+IF(AND(AC8&gt;0,AH8&gt;0),AC8*AH8,0)</f>
        <v>0</v>
      </c>
      <c r="AJ8" s="143">
        <f>+IF(AND(Z8&gt;=1,Z8&lt;=6),ROUND(AB8*AE8,3),0)</f>
        <v>0</v>
      </c>
      <c r="AK8" s="145">
        <f>+IF(AND(AC8&gt;0,AJ8&gt;0),AC8*AJ8,0)</f>
        <v>0</v>
      </c>
      <c r="AL8" s="162" t="s">
        <v>755</v>
      </c>
      <c r="AN8" s="771" t="s">
        <v>631</v>
      </c>
      <c r="AO8" s="769" t="s">
        <v>17</v>
      </c>
      <c r="AP8" s="136"/>
      <c r="AQ8" s="136">
        <v>0.1</v>
      </c>
      <c r="AR8" s="136">
        <f t="shared" ref="AR8:AR11" si="2">+IF(AQ8&gt;0,ROUND(AP8*(1+AQ8),2),AP8)</f>
        <v>0</v>
      </c>
      <c r="AS8" s="143">
        <v>5.5E-2</v>
      </c>
      <c r="AT8" s="145">
        <f>+IF(AND(AR8&gt;0,AS8&gt;0),AR8*AS8,0)</f>
        <v>0</v>
      </c>
      <c r="AU8" s="143"/>
      <c r="AV8" s="145">
        <f>+IF(AND(AR8&gt;0,AU8&gt;0),AR8*AU8,0)</f>
        <v>0</v>
      </c>
      <c r="AW8" s="143"/>
      <c r="AX8" s="145">
        <f>+IF(AND(AR8&gt;0,AW8&gt;0),AR8*AW8,0)</f>
        <v>0</v>
      </c>
      <c r="AY8" s="143">
        <f>+IF(AND(AO8&gt;=1,AO8&lt;=6),ROUND(AQ8*AT8,3),0)</f>
        <v>0</v>
      </c>
      <c r="AZ8" s="145">
        <f>+IF(AND(AR8&gt;0,AY8&gt;0),AR8*AY8,0)</f>
        <v>0</v>
      </c>
      <c r="BA8" s="162" t="s">
        <v>754</v>
      </c>
      <c r="BC8" s="771"/>
      <c r="BD8" s="769"/>
      <c r="BE8" s="136"/>
      <c r="BF8" s="136"/>
      <c r="BG8" s="136"/>
      <c r="BH8" s="143"/>
      <c r="BI8" s="145"/>
      <c r="BJ8" s="143"/>
      <c r="BK8" s="145"/>
      <c r="BL8" s="143"/>
      <c r="BM8" s="145"/>
      <c r="BN8" s="143"/>
      <c r="BO8" s="145"/>
      <c r="BP8" s="162"/>
      <c r="BR8" s="771"/>
      <c r="BS8" s="769"/>
      <c r="BT8" s="136"/>
      <c r="BU8" s="136"/>
      <c r="BV8" s="136"/>
      <c r="BW8" s="143"/>
      <c r="BX8" s="145"/>
      <c r="BY8" s="143"/>
      <c r="BZ8" s="145"/>
      <c r="CA8" s="143"/>
      <c r="CB8" s="145"/>
      <c r="CC8" s="143"/>
      <c r="CD8" s="145"/>
      <c r="CE8" s="162"/>
      <c r="CG8" s="767" t="s">
        <v>310</v>
      </c>
      <c r="CH8" s="769" t="s">
        <v>20</v>
      </c>
      <c r="CI8" s="136"/>
      <c r="CJ8" s="136"/>
      <c r="CK8" s="136">
        <f t="shared" ref="CK8:CK43" si="3">+IF(CJ8&gt;0,ROUND(CI8*(1+CJ8),2),CI8)</f>
        <v>0</v>
      </c>
      <c r="CL8" s="143">
        <f>0.5*50%</f>
        <v>0.25</v>
      </c>
      <c r="CM8" s="145">
        <f>+IF(AND(CK8&gt;0,CL8&gt;0),CK8*CL8,0)</f>
        <v>0</v>
      </c>
      <c r="CN8" s="143"/>
      <c r="CO8" s="145">
        <f>+IF(AND(CK8&gt;0,CN8&gt;0),CK8*CN8,0)</f>
        <v>0</v>
      </c>
      <c r="CP8" s="143"/>
      <c r="CQ8" s="145">
        <f>+IF(AND(CK8&gt;0,CP8&gt;0),CK8*CP8,0)</f>
        <v>0</v>
      </c>
      <c r="CR8" s="143">
        <f>+IF(AND(CH8&gt;=1,CH8&lt;=6),ROUND(CJ8*CM8,3),0)</f>
        <v>0</v>
      </c>
      <c r="CS8" s="145">
        <f>+IF(AND(CK8&gt;0,CR8&gt;0),CK8*CR8,0)</f>
        <v>0</v>
      </c>
      <c r="CT8" s="162" t="s">
        <v>324</v>
      </c>
      <c r="CV8" s="771" t="s">
        <v>316</v>
      </c>
      <c r="CW8" s="769" t="s">
        <v>17</v>
      </c>
      <c r="CX8" s="136"/>
      <c r="CY8" s="136"/>
      <c r="CZ8" s="136">
        <f t="shared" ref="CZ8:CZ43" si="4">+IF(CY8&gt;0,ROUND(CX8*(1+CY8),2),CX8)</f>
        <v>0</v>
      </c>
      <c r="DA8" s="143">
        <f>0.023*20%</f>
        <v>4.5999999999999999E-3</v>
      </c>
      <c r="DB8" s="145">
        <f>+IF(AND(CZ8&gt;0,DA8&gt;0),CZ8*DA8,0)</f>
        <v>0</v>
      </c>
      <c r="DC8" s="143"/>
      <c r="DD8" s="145">
        <f>+IF(AND(CZ8&gt;0,DC8&gt;0),CZ8*DC8,0)</f>
        <v>0</v>
      </c>
      <c r="DE8" s="143"/>
      <c r="DF8" s="145">
        <f>+IF(AND(CZ8&gt;0,DE8&gt;0),CZ8*DE8,0)</f>
        <v>0</v>
      </c>
      <c r="DG8" s="143">
        <f>+IF(AND(CW8&gt;=1,CW8&lt;=6),ROUND(CY8*DB8,3),0)</f>
        <v>0</v>
      </c>
      <c r="DH8" s="145">
        <f>+IF(AND(CZ8&gt;0,DG8&gt;0),CZ8*DG8,0)</f>
        <v>0</v>
      </c>
      <c r="DI8" s="162" t="s">
        <v>632</v>
      </c>
      <c r="DK8" s="767"/>
      <c r="DL8" s="769"/>
      <c r="DM8" s="136"/>
      <c r="DN8" s="136"/>
      <c r="DO8" s="136">
        <f t="shared" ref="DO8:DO43" si="5">+IF(DN8&gt;0,ROUND(DM8*(1+DN8),2),DM8)</f>
        <v>0</v>
      </c>
      <c r="DP8" s="143"/>
      <c r="DQ8" s="145">
        <f>+IF(AND(DO8&gt;0,DP8&gt;0),DO8*DP8,0)</f>
        <v>0</v>
      </c>
      <c r="DR8" s="143"/>
      <c r="DS8" s="145">
        <f>+IF(AND(DO8&gt;0,DR8&gt;0),DO8*DR8,0)</f>
        <v>0</v>
      </c>
      <c r="DT8" s="143"/>
      <c r="DU8" s="145">
        <f>+IF(AND(DO8&gt;0,DT8&gt;0),DO8*DT8,0)</f>
        <v>0</v>
      </c>
      <c r="DV8" s="143">
        <f>+IF(AND(DL8&gt;=1,DL8&lt;=6),ROUND(DN8*DQ8,3),0)</f>
        <v>0</v>
      </c>
      <c r="DW8" s="145">
        <f>+IF(AND(DO8&gt;0,DV8&gt;0),DO8*DV8,0)</f>
        <v>0</v>
      </c>
      <c r="DX8" s="162"/>
    </row>
    <row r="9" spans="1:128">
      <c r="B9" s="662"/>
      <c r="C9" s="87">
        <f>+AE48</f>
        <v>0</v>
      </c>
      <c r="D9" s="87">
        <f>+AG48</f>
        <v>0</v>
      </c>
      <c r="E9" s="87">
        <f>+AI48</f>
        <v>0</v>
      </c>
      <c r="F9" s="87">
        <f>+AK48</f>
        <v>0</v>
      </c>
      <c r="G9" s="87"/>
      <c r="H9" s="12"/>
      <c r="J9" s="768"/>
      <c r="K9" s="770"/>
      <c r="L9" s="138"/>
      <c r="M9" s="139"/>
      <c r="N9" s="139"/>
      <c r="O9" s="144"/>
      <c r="P9" s="146"/>
      <c r="Q9" s="144"/>
      <c r="R9" s="146"/>
      <c r="S9" s="144"/>
      <c r="T9" s="146"/>
      <c r="U9" s="144"/>
      <c r="V9" s="146"/>
      <c r="W9" s="166"/>
      <c r="Y9" s="768"/>
      <c r="Z9" s="770"/>
      <c r="AA9" s="138"/>
      <c r="AB9" s="139"/>
      <c r="AC9" s="139">
        <f t="shared" si="1"/>
        <v>0</v>
      </c>
      <c r="AD9" s="144"/>
      <c r="AE9" s="146">
        <f>+IF(AND(AC9&gt;0,AD9&gt;0),AC9*AD9,0)</f>
        <v>0</v>
      </c>
      <c r="AF9" s="144"/>
      <c r="AG9" s="146">
        <f>+IF(AND(AC9&gt;0,AF9&gt;0),AC9*AF9,0)</f>
        <v>0</v>
      </c>
      <c r="AH9" s="144"/>
      <c r="AI9" s="146">
        <f>+IF(AND(AC9&gt;0,AH9&gt;0),AC9*AH9,0)</f>
        <v>0</v>
      </c>
      <c r="AJ9" s="144">
        <f>+IF(AND(Z9&gt;=1,Z9&lt;=6),ROUND(AB9*AE9,3),0)</f>
        <v>0</v>
      </c>
      <c r="AK9" s="146">
        <f>+IF(AND(AC9&gt;0,AJ9&gt;0),AC9*AJ9,0)</f>
        <v>0</v>
      </c>
      <c r="AL9" s="166" t="s">
        <v>325</v>
      </c>
      <c r="AN9" s="768"/>
      <c r="AO9" s="770"/>
      <c r="AP9" s="138"/>
      <c r="AQ9" s="139"/>
      <c r="AR9" s="139">
        <f t="shared" si="2"/>
        <v>0</v>
      </c>
      <c r="AS9" s="144"/>
      <c r="AT9" s="146">
        <f>+IF(AND(AR9&gt;0,AS9&gt;0),AR9*AS9,0)</f>
        <v>0</v>
      </c>
      <c r="AU9" s="144"/>
      <c r="AV9" s="146">
        <f>+IF(AND(AR9&gt;0,AU9&gt;0),AR9*AU9,0)</f>
        <v>0</v>
      </c>
      <c r="AW9" s="144"/>
      <c r="AX9" s="146">
        <f>+IF(AND(AR9&gt;0,AW9&gt;0),AR9*AW9,0)</f>
        <v>0</v>
      </c>
      <c r="AY9" s="144">
        <f>+IF(AND(AO9&gt;=1,AO9&lt;=6),ROUND(AQ9*AT9,3),0)</f>
        <v>0</v>
      </c>
      <c r="AZ9" s="146">
        <f>+IF(AND(AR9&gt;0,AY9&gt;0),AR9*AY9,0)</f>
        <v>0</v>
      </c>
      <c r="BA9" s="163" t="s">
        <v>932</v>
      </c>
      <c r="BC9" s="768"/>
      <c r="BD9" s="770"/>
      <c r="BE9" s="138"/>
      <c r="BF9" s="139"/>
      <c r="BG9" s="139"/>
      <c r="BH9" s="144"/>
      <c r="BI9" s="146"/>
      <c r="BJ9" s="144"/>
      <c r="BK9" s="146"/>
      <c r="BL9" s="144"/>
      <c r="BM9" s="146"/>
      <c r="BN9" s="144"/>
      <c r="BO9" s="146"/>
      <c r="BP9" s="166"/>
      <c r="BR9" s="768"/>
      <c r="BS9" s="770"/>
      <c r="BT9" s="138"/>
      <c r="BU9" s="139"/>
      <c r="BV9" s="139"/>
      <c r="BW9" s="144"/>
      <c r="BX9" s="146"/>
      <c r="BY9" s="144"/>
      <c r="BZ9" s="146"/>
      <c r="CA9" s="144"/>
      <c r="CB9" s="146"/>
      <c r="CC9" s="144"/>
      <c r="CD9" s="146"/>
      <c r="CE9" s="163"/>
      <c r="CG9" s="768"/>
      <c r="CH9" s="770"/>
      <c r="CI9" s="138"/>
      <c r="CJ9" s="139"/>
      <c r="CK9" s="139">
        <f t="shared" si="3"/>
        <v>0</v>
      </c>
      <c r="CL9" s="144"/>
      <c r="CM9" s="146">
        <f>+IF(AND(CK9&gt;0,CL9&gt;0),CK9*CL9,0)</f>
        <v>0</v>
      </c>
      <c r="CN9" s="144"/>
      <c r="CO9" s="146">
        <f>+IF(AND(CK9&gt;0,CN9&gt;0),CK9*CN9,0)</f>
        <v>0</v>
      </c>
      <c r="CP9" s="144"/>
      <c r="CQ9" s="146">
        <f>+IF(AND(CK9&gt;0,CP9&gt;0),CK9*CP9,0)</f>
        <v>0</v>
      </c>
      <c r="CR9" s="144">
        <f>+IF(AND(CH9&gt;=1,CH9&lt;=6),ROUND(CJ9*CM9,3),0)</f>
        <v>0</v>
      </c>
      <c r="CS9" s="146">
        <f>+IF(AND(CK9&gt;0,CR9&gt;0),CK9*CR9,0)</f>
        <v>0</v>
      </c>
      <c r="CT9" s="166"/>
      <c r="CV9" s="768"/>
      <c r="CW9" s="770"/>
      <c r="CX9" s="138"/>
      <c r="CY9" s="139"/>
      <c r="CZ9" s="139">
        <f t="shared" si="4"/>
        <v>0</v>
      </c>
      <c r="DA9" s="144"/>
      <c r="DB9" s="146">
        <f>+IF(AND(CZ9&gt;0,DA9&gt;0),CZ9*DA9,0)</f>
        <v>0</v>
      </c>
      <c r="DC9" s="144"/>
      <c r="DD9" s="146">
        <f>+IF(AND(CZ9&gt;0,DC9&gt;0),CZ9*DC9,0)</f>
        <v>0</v>
      </c>
      <c r="DE9" s="144"/>
      <c r="DF9" s="146">
        <f>+IF(AND(CZ9&gt;0,DE9&gt;0),CZ9*DE9,0)</f>
        <v>0</v>
      </c>
      <c r="DG9" s="144">
        <f>+IF(AND(CW9&gt;=1,CW9&lt;=6),ROUND(CY9*DB9,3),0)</f>
        <v>0</v>
      </c>
      <c r="DH9" s="146">
        <f>+IF(AND(CZ9&gt;0,DG9&gt;0),CZ9*DG9,0)</f>
        <v>0</v>
      </c>
      <c r="DI9" s="166" t="s">
        <v>325</v>
      </c>
      <c r="DK9" s="768"/>
      <c r="DL9" s="770"/>
      <c r="DM9" s="138"/>
      <c r="DN9" s="139"/>
      <c r="DO9" s="139">
        <f t="shared" si="5"/>
        <v>0</v>
      </c>
      <c r="DP9" s="144"/>
      <c r="DQ9" s="146">
        <f>+IF(AND(DO9&gt;0,DP9&gt;0),DO9*DP9,0)</f>
        <v>0</v>
      </c>
      <c r="DR9" s="144"/>
      <c r="DS9" s="146">
        <f>+IF(AND(DO9&gt;0,DR9&gt;0),DO9*DR9,0)</f>
        <v>0</v>
      </c>
      <c r="DT9" s="144"/>
      <c r="DU9" s="146">
        <f>+IF(AND(DO9&gt;0,DT9&gt;0),DO9*DT9,0)</f>
        <v>0</v>
      </c>
      <c r="DV9" s="144">
        <f>+IF(AND(DL9&gt;=1,DL9&lt;=6),ROUND(DN9*DQ9,3),0)</f>
        <v>0</v>
      </c>
      <c r="DW9" s="146">
        <f>+IF(AND(DO9&gt;0,DV9&gt;0),DO9*DV9,0)</f>
        <v>0</v>
      </c>
      <c r="DX9" s="166"/>
    </row>
    <row r="10" spans="1:128">
      <c r="B10" s="661" t="s">
        <v>300</v>
      </c>
      <c r="C10" s="88">
        <f>+AT47</f>
        <v>0</v>
      </c>
      <c r="D10" s="88">
        <f>+AV47</f>
        <v>0</v>
      </c>
      <c r="E10" s="88">
        <f>+AX47</f>
        <v>0</v>
      </c>
      <c r="F10" s="88">
        <f>+AZ47</f>
        <v>0</v>
      </c>
      <c r="G10" s="88"/>
      <c r="H10" s="10"/>
      <c r="J10" s="767"/>
      <c r="K10" s="769"/>
      <c r="L10" s="136"/>
      <c r="M10" s="136"/>
      <c r="N10" s="136"/>
      <c r="O10" s="143"/>
      <c r="P10" s="145"/>
      <c r="Q10" s="143"/>
      <c r="R10" s="145"/>
      <c r="S10" s="143"/>
      <c r="T10" s="145"/>
      <c r="U10" s="143"/>
      <c r="V10" s="145"/>
      <c r="W10" s="162"/>
      <c r="Y10" s="771" t="s">
        <v>317</v>
      </c>
      <c r="Z10" s="769" t="s">
        <v>17</v>
      </c>
      <c r="AA10" s="136"/>
      <c r="AB10" s="136">
        <v>0.1</v>
      </c>
      <c r="AC10" s="136">
        <f t="shared" si="1"/>
        <v>0</v>
      </c>
      <c r="AD10" s="143">
        <v>0.1</v>
      </c>
      <c r="AE10" s="145">
        <f t="shared" ref="AE10:AE43" si="6">+IF(AND(AC10&gt;0,AD10&gt;0),AC10*AD10,0)</f>
        <v>0</v>
      </c>
      <c r="AF10" s="143"/>
      <c r="AG10" s="145">
        <f t="shared" ref="AG10:AG43" si="7">+IF(AND(AC10&gt;0,AF10&gt;0),AC10*AF10,0)</f>
        <v>0</v>
      </c>
      <c r="AH10" s="143"/>
      <c r="AI10" s="145">
        <f t="shared" ref="AI10:AI43" si="8">+IF(AND(AC10&gt;0,AH10&gt;0),AC10*AH10,0)</f>
        <v>0</v>
      </c>
      <c r="AJ10" s="143"/>
      <c r="AK10" s="145">
        <f t="shared" ref="AK10:AK43" si="9">+IF(AND(AC10&gt;0,AJ10&gt;0),AC10*AJ10,0)</f>
        <v>0</v>
      </c>
      <c r="AL10" s="162" t="s">
        <v>755</v>
      </c>
      <c r="AN10" s="771" t="s">
        <v>930</v>
      </c>
      <c r="AO10" s="769" t="s">
        <v>17</v>
      </c>
      <c r="AP10" s="136"/>
      <c r="AQ10" s="136">
        <v>0.1</v>
      </c>
      <c r="AR10" s="136">
        <f t="shared" si="2"/>
        <v>0</v>
      </c>
      <c r="AS10" s="143">
        <v>0.08</v>
      </c>
      <c r="AT10" s="145">
        <f t="shared" ref="AT10:AT11" si="10">+IF(AND(AR10&gt;0,AS10&gt;0),AR10*AS10,0)</f>
        <v>0</v>
      </c>
      <c r="AU10" s="143"/>
      <c r="AV10" s="145">
        <f t="shared" ref="AV10:AV11" si="11">+IF(AND(AR10&gt;0,AU10&gt;0),AR10*AU10,0)</f>
        <v>0</v>
      </c>
      <c r="AW10" s="143"/>
      <c r="AX10" s="145">
        <f t="shared" ref="AX10:AX11" si="12">+IF(AND(AR10&gt;0,AW10&gt;0),AR10*AW10,0)</f>
        <v>0</v>
      </c>
      <c r="AY10" s="143"/>
      <c r="AZ10" s="145">
        <f t="shared" ref="AZ10:AZ11" si="13">+IF(AND(AR10&gt;0,AY10&gt;0),AR10*AY10,0)</f>
        <v>0</v>
      </c>
      <c r="BA10" s="162" t="s">
        <v>754</v>
      </c>
      <c r="BC10" s="771"/>
      <c r="BD10" s="769"/>
      <c r="BE10" s="136"/>
      <c r="BF10" s="136"/>
      <c r="BG10" s="136"/>
      <c r="BH10" s="143"/>
      <c r="BI10" s="145"/>
      <c r="BJ10" s="143"/>
      <c r="BK10" s="145"/>
      <c r="BL10" s="143"/>
      <c r="BM10" s="145"/>
      <c r="BN10" s="143"/>
      <c r="BO10" s="145"/>
      <c r="BP10" s="162"/>
      <c r="BR10" s="767"/>
      <c r="BS10" s="769"/>
      <c r="BT10" s="136"/>
      <c r="BU10" s="136"/>
      <c r="BV10" s="136">
        <f t="shared" ref="BV10:BV43" si="14">+IF(BU10&gt;0,ROUND(BT10*(1+BU10),2),BT10)</f>
        <v>0</v>
      </c>
      <c r="BW10" s="143"/>
      <c r="BX10" s="145">
        <f t="shared" ref="BX10:BX43" si="15">+IF(AND(BV10&gt;0,BW10&gt;0),BV10*BW10,0)</f>
        <v>0</v>
      </c>
      <c r="BY10" s="143"/>
      <c r="BZ10" s="145">
        <f t="shared" ref="BZ10:BZ43" si="16">+IF(AND(BV10&gt;0,BY10&gt;0),BV10*BY10,0)</f>
        <v>0</v>
      </c>
      <c r="CA10" s="143"/>
      <c r="CB10" s="145">
        <f t="shared" ref="CB10:CB43" si="17">+IF(AND(BV10&gt;0,CA10&gt;0),BV10*CA10,0)</f>
        <v>0</v>
      </c>
      <c r="CC10" s="143"/>
      <c r="CD10" s="145">
        <f t="shared" ref="CD10:CD43" si="18">+IF(AND(BV10&gt;0,CC10&gt;0),BV10*CC10,0)</f>
        <v>0</v>
      </c>
      <c r="CE10" s="162"/>
      <c r="CG10" s="767" t="s">
        <v>311</v>
      </c>
      <c r="CH10" s="769" t="s">
        <v>20</v>
      </c>
      <c r="CI10" s="136"/>
      <c r="CJ10" s="136"/>
      <c r="CK10" s="136">
        <f t="shared" si="3"/>
        <v>0</v>
      </c>
      <c r="CL10" s="143">
        <f>(1+2)*20%</f>
        <v>0.60000000000000009</v>
      </c>
      <c r="CM10" s="145">
        <f t="shared" ref="CM10:CM43" si="19">+IF(AND(CK10&gt;0,CL10&gt;0),CK10*CL10,0)</f>
        <v>0</v>
      </c>
      <c r="CN10" s="143"/>
      <c r="CO10" s="145">
        <f t="shared" ref="CO10:CO43" si="20">+IF(AND(CK10&gt;0,CN10&gt;0),CK10*CN10,0)</f>
        <v>0</v>
      </c>
      <c r="CP10" s="143"/>
      <c r="CQ10" s="145">
        <f t="shared" ref="CQ10:CQ43" si="21">+IF(AND(CK10&gt;0,CP10&gt;0),CK10*CP10,0)</f>
        <v>0</v>
      </c>
      <c r="CR10" s="143"/>
      <c r="CS10" s="145">
        <f t="shared" ref="CS10:CS43" si="22">+IF(AND(CK10&gt;0,CR10&gt;0),CK10*CR10,0)</f>
        <v>0</v>
      </c>
      <c r="CT10" s="162" t="s">
        <v>323</v>
      </c>
      <c r="CV10" s="771" t="s">
        <v>317</v>
      </c>
      <c r="CW10" s="769" t="s">
        <v>17</v>
      </c>
      <c r="CX10" s="136"/>
      <c r="CY10" s="136"/>
      <c r="CZ10" s="136">
        <f t="shared" si="4"/>
        <v>0</v>
      </c>
      <c r="DA10" s="143">
        <f>0.1*20%</f>
        <v>2.0000000000000004E-2</v>
      </c>
      <c r="DB10" s="145">
        <f t="shared" ref="DB10:DB43" si="23">+IF(AND(CZ10&gt;0,DA10&gt;0),CZ10*DA10,0)</f>
        <v>0</v>
      </c>
      <c r="DC10" s="143"/>
      <c r="DD10" s="145">
        <f t="shared" ref="DD10:DD43" si="24">+IF(AND(CZ10&gt;0,DC10&gt;0),CZ10*DC10,0)</f>
        <v>0</v>
      </c>
      <c r="DE10" s="143"/>
      <c r="DF10" s="145">
        <f t="shared" ref="DF10:DF43" si="25">+IF(AND(CZ10&gt;0,DE10&gt;0),CZ10*DE10,0)</f>
        <v>0</v>
      </c>
      <c r="DG10" s="143"/>
      <c r="DH10" s="145">
        <f t="shared" ref="DH10:DH43" si="26">+IF(AND(CZ10&gt;0,DG10&gt;0),CZ10*DG10,0)</f>
        <v>0</v>
      </c>
      <c r="DI10" s="162" t="s">
        <v>632</v>
      </c>
      <c r="DK10" s="767"/>
      <c r="DL10" s="769"/>
      <c r="DM10" s="136"/>
      <c r="DN10" s="136"/>
      <c r="DO10" s="136">
        <f t="shared" si="5"/>
        <v>0</v>
      </c>
      <c r="DP10" s="143"/>
      <c r="DQ10" s="145">
        <f t="shared" ref="DQ10:DQ43" si="27">+IF(AND(DO10&gt;0,DP10&gt;0),DO10*DP10,0)</f>
        <v>0</v>
      </c>
      <c r="DR10" s="143"/>
      <c r="DS10" s="145">
        <f t="shared" ref="DS10:DS43" si="28">+IF(AND(DO10&gt;0,DR10&gt;0),DO10*DR10,0)</f>
        <v>0</v>
      </c>
      <c r="DT10" s="143"/>
      <c r="DU10" s="145">
        <f t="shared" ref="DU10:DU43" si="29">+IF(AND(DO10&gt;0,DT10&gt;0),DO10*DT10,0)</f>
        <v>0</v>
      </c>
      <c r="DV10" s="143"/>
      <c r="DW10" s="145">
        <f t="shared" ref="DW10:DW43" si="30">+IF(AND(DO10&gt;0,DV10&gt;0),DO10*DV10,0)</f>
        <v>0</v>
      </c>
      <c r="DX10" s="162"/>
    </row>
    <row r="11" spans="1:128">
      <c r="B11" s="662"/>
      <c r="C11" s="87">
        <f>+AT48</f>
        <v>0</v>
      </c>
      <c r="D11" s="87">
        <f>+AV48</f>
        <v>0</v>
      </c>
      <c r="E11" s="87">
        <f>+AX48</f>
        <v>0</v>
      </c>
      <c r="F11" s="87">
        <f>+AZ48</f>
        <v>0</v>
      </c>
      <c r="G11" s="87"/>
      <c r="H11" s="12"/>
      <c r="J11" s="768"/>
      <c r="K11" s="770"/>
      <c r="L11" s="138"/>
      <c r="M11" s="139"/>
      <c r="N11" s="139"/>
      <c r="O11" s="144"/>
      <c r="P11" s="146"/>
      <c r="Q11" s="144"/>
      <c r="R11" s="146"/>
      <c r="S11" s="144"/>
      <c r="T11" s="146"/>
      <c r="U11" s="144"/>
      <c r="V11" s="146"/>
      <c r="W11" s="166"/>
      <c r="Y11" s="768"/>
      <c r="Z11" s="770"/>
      <c r="AA11" s="138"/>
      <c r="AB11" s="139"/>
      <c r="AC11" s="139">
        <f t="shared" si="1"/>
        <v>0</v>
      </c>
      <c r="AD11" s="144"/>
      <c r="AE11" s="146">
        <f t="shared" si="6"/>
        <v>0</v>
      </c>
      <c r="AF11" s="144"/>
      <c r="AG11" s="146">
        <f t="shared" si="7"/>
        <v>0</v>
      </c>
      <c r="AH11" s="144"/>
      <c r="AI11" s="146">
        <f t="shared" si="8"/>
        <v>0</v>
      </c>
      <c r="AJ11" s="144">
        <f t="shared" ref="AJ11:AJ43" si="31">+IF(AND(Z11&gt;=1,Z11&lt;=6),ROUND(AB11*AE11,3),0)</f>
        <v>0</v>
      </c>
      <c r="AK11" s="146">
        <f t="shared" si="9"/>
        <v>0</v>
      </c>
      <c r="AL11" s="166" t="s">
        <v>629</v>
      </c>
      <c r="AN11" s="768"/>
      <c r="AO11" s="770"/>
      <c r="AP11" s="138"/>
      <c r="AQ11" s="139"/>
      <c r="AR11" s="139">
        <f t="shared" si="2"/>
        <v>0</v>
      </c>
      <c r="AS11" s="144"/>
      <c r="AT11" s="146">
        <f t="shared" si="10"/>
        <v>0</v>
      </c>
      <c r="AU11" s="144"/>
      <c r="AV11" s="146">
        <f t="shared" si="11"/>
        <v>0</v>
      </c>
      <c r="AW11" s="144"/>
      <c r="AX11" s="146">
        <f t="shared" si="12"/>
        <v>0</v>
      </c>
      <c r="AY11" s="144">
        <f t="shared" ref="AY11" si="32">+IF(AND(AO11&gt;=1,AO11&lt;=6),ROUND(AQ11*AT11,3),0)</f>
        <v>0</v>
      </c>
      <c r="AZ11" s="146">
        <f t="shared" si="13"/>
        <v>0</v>
      </c>
      <c r="BA11" s="163" t="s">
        <v>328</v>
      </c>
      <c r="BC11" s="768"/>
      <c r="BD11" s="770"/>
      <c r="BE11" s="138"/>
      <c r="BF11" s="139"/>
      <c r="BG11" s="139"/>
      <c r="BH11" s="144"/>
      <c r="BI11" s="146"/>
      <c r="BJ11" s="144"/>
      <c r="BK11" s="146"/>
      <c r="BL11" s="144"/>
      <c r="BM11" s="146"/>
      <c r="BN11" s="144"/>
      <c r="BO11" s="146"/>
      <c r="BP11" s="166"/>
      <c r="BR11" s="768"/>
      <c r="BS11" s="770"/>
      <c r="BT11" s="138"/>
      <c r="BU11" s="139"/>
      <c r="BV11" s="139">
        <f t="shared" si="14"/>
        <v>0</v>
      </c>
      <c r="BW11" s="144"/>
      <c r="BX11" s="146">
        <f t="shared" si="15"/>
        <v>0</v>
      </c>
      <c r="BY11" s="144"/>
      <c r="BZ11" s="146">
        <f t="shared" si="16"/>
        <v>0</v>
      </c>
      <c r="CA11" s="144"/>
      <c r="CB11" s="146">
        <f t="shared" si="17"/>
        <v>0</v>
      </c>
      <c r="CC11" s="144">
        <f t="shared" ref="CC11:CC43" si="33">+IF(AND(BS11&gt;=1,BS11&lt;=6),ROUND(BU11*BX11,3),0)</f>
        <v>0</v>
      </c>
      <c r="CD11" s="146">
        <f t="shared" si="18"/>
        <v>0</v>
      </c>
      <c r="CE11" s="166"/>
      <c r="CG11" s="768"/>
      <c r="CH11" s="770"/>
      <c r="CI11" s="138"/>
      <c r="CJ11" s="139"/>
      <c r="CK11" s="139">
        <f t="shared" si="3"/>
        <v>0</v>
      </c>
      <c r="CL11" s="144"/>
      <c r="CM11" s="146">
        <f t="shared" si="19"/>
        <v>0</v>
      </c>
      <c r="CN11" s="144"/>
      <c r="CO11" s="146">
        <f t="shared" si="20"/>
        <v>0</v>
      </c>
      <c r="CP11" s="144"/>
      <c r="CQ11" s="146">
        <f t="shared" si="21"/>
        <v>0</v>
      </c>
      <c r="CR11" s="144">
        <f t="shared" ref="CR11:CR43" si="34">+IF(AND(CH11&gt;=1,CH11&lt;=6),ROUND(CJ11*CM11,3),0)</f>
        <v>0</v>
      </c>
      <c r="CS11" s="146">
        <f t="shared" si="22"/>
        <v>0</v>
      </c>
      <c r="CT11" s="166"/>
      <c r="CV11" s="768"/>
      <c r="CW11" s="770"/>
      <c r="CX11" s="138"/>
      <c r="CY11" s="139"/>
      <c r="CZ11" s="139">
        <f t="shared" si="4"/>
        <v>0</v>
      </c>
      <c r="DA11" s="144"/>
      <c r="DB11" s="146">
        <f t="shared" si="23"/>
        <v>0</v>
      </c>
      <c r="DC11" s="144"/>
      <c r="DD11" s="146">
        <f t="shared" si="24"/>
        <v>0</v>
      </c>
      <c r="DE11" s="144"/>
      <c r="DF11" s="146">
        <f t="shared" si="25"/>
        <v>0</v>
      </c>
      <c r="DG11" s="144">
        <f t="shared" ref="DG11:DG43" si="35">+IF(AND(CW11&gt;=1,CW11&lt;=6),ROUND(CY11*DB11,3),0)</f>
        <v>0</v>
      </c>
      <c r="DH11" s="146">
        <f t="shared" si="26"/>
        <v>0</v>
      </c>
      <c r="DI11" s="166" t="s">
        <v>629</v>
      </c>
      <c r="DK11" s="768"/>
      <c r="DL11" s="770"/>
      <c r="DM11" s="138"/>
      <c r="DN11" s="139"/>
      <c r="DO11" s="139">
        <f t="shared" si="5"/>
        <v>0</v>
      </c>
      <c r="DP11" s="144"/>
      <c r="DQ11" s="146">
        <f t="shared" si="27"/>
        <v>0</v>
      </c>
      <c r="DR11" s="144"/>
      <c r="DS11" s="146">
        <f t="shared" si="28"/>
        <v>0</v>
      </c>
      <c r="DT11" s="144"/>
      <c r="DU11" s="146">
        <f t="shared" si="29"/>
        <v>0</v>
      </c>
      <c r="DV11" s="144">
        <f t="shared" ref="DV11:DV43" si="36">+IF(AND(DL11&gt;=1,DL11&lt;=6),ROUND(DN11*DQ11,3),0)</f>
        <v>0</v>
      </c>
      <c r="DW11" s="146">
        <f t="shared" si="30"/>
        <v>0</v>
      </c>
      <c r="DX11" s="166"/>
    </row>
    <row r="12" spans="1:128">
      <c r="B12" s="661" t="s">
        <v>301</v>
      </c>
      <c r="C12" s="88">
        <f>+BI47</f>
        <v>0</v>
      </c>
      <c r="D12" s="88">
        <f>+BK47</f>
        <v>0</v>
      </c>
      <c r="E12" s="88">
        <f>+BH47</f>
        <v>0</v>
      </c>
      <c r="F12" s="88">
        <f>+BO47</f>
        <v>0</v>
      </c>
      <c r="G12" s="88"/>
      <c r="H12" s="10"/>
      <c r="J12" s="767"/>
      <c r="K12" s="769"/>
      <c r="L12" s="136"/>
      <c r="M12" s="136"/>
      <c r="N12" s="136"/>
      <c r="O12" s="143"/>
      <c r="P12" s="145"/>
      <c r="Q12" s="143"/>
      <c r="R12" s="145"/>
      <c r="S12" s="143"/>
      <c r="T12" s="145"/>
      <c r="U12" s="143"/>
      <c r="V12" s="145"/>
      <c r="W12" s="162"/>
      <c r="Y12" s="771" t="s">
        <v>630</v>
      </c>
      <c r="Z12" s="769" t="s">
        <v>17</v>
      </c>
      <c r="AA12" s="136"/>
      <c r="AB12" s="136">
        <v>0.1</v>
      </c>
      <c r="AC12" s="136">
        <f t="shared" si="1"/>
        <v>0</v>
      </c>
      <c r="AD12" s="143">
        <v>1.2E-2</v>
      </c>
      <c r="AE12" s="145">
        <f t="shared" si="6"/>
        <v>0</v>
      </c>
      <c r="AF12" s="143"/>
      <c r="AG12" s="145"/>
      <c r="AH12" s="143"/>
      <c r="AI12" s="145">
        <f t="shared" si="8"/>
        <v>0</v>
      </c>
      <c r="AJ12" s="143">
        <f t="shared" si="31"/>
        <v>0</v>
      </c>
      <c r="AK12" s="145">
        <f t="shared" si="9"/>
        <v>0</v>
      </c>
      <c r="AL12" s="162" t="s">
        <v>755</v>
      </c>
      <c r="AN12" s="767"/>
      <c r="AO12" s="769"/>
      <c r="AP12" s="136"/>
      <c r="AQ12" s="136"/>
      <c r="AR12" s="136"/>
      <c r="AS12" s="143"/>
      <c r="AT12" s="145"/>
      <c r="AU12" s="143"/>
      <c r="AV12" s="145"/>
      <c r="AW12" s="143"/>
      <c r="AX12" s="145"/>
      <c r="AY12" s="143"/>
      <c r="AZ12" s="145"/>
      <c r="BA12" s="162"/>
      <c r="BC12" s="771"/>
      <c r="BD12" s="769"/>
      <c r="BE12" s="136"/>
      <c r="BF12" s="136"/>
      <c r="BG12" s="136"/>
      <c r="BH12" s="143"/>
      <c r="BI12" s="145"/>
      <c r="BJ12" s="143"/>
      <c r="BK12" s="145"/>
      <c r="BL12" s="143"/>
      <c r="BM12" s="145"/>
      <c r="BN12" s="143"/>
      <c r="BO12" s="145"/>
      <c r="BP12" s="162"/>
      <c r="BR12" s="767"/>
      <c r="BS12" s="769"/>
      <c r="BT12" s="136"/>
      <c r="BU12" s="136"/>
      <c r="BV12" s="136">
        <f t="shared" si="14"/>
        <v>0</v>
      </c>
      <c r="BW12" s="143"/>
      <c r="BX12" s="145">
        <f t="shared" si="15"/>
        <v>0</v>
      </c>
      <c r="BY12" s="143"/>
      <c r="BZ12" s="145">
        <f t="shared" si="16"/>
        <v>0</v>
      </c>
      <c r="CA12" s="143"/>
      <c r="CB12" s="145">
        <f t="shared" si="17"/>
        <v>0</v>
      </c>
      <c r="CC12" s="143">
        <f t="shared" si="33"/>
        <v>0</v>
      </c>
      <c r="CD12" s="145">
        <f t="shared" si="18"/>
        <v>0</v>
      </c>
      <c r="CE12" s="162"/>
      <c r="CG12" s="767" t="s">
        <v>264</v>
      </c>
      <c r="CH12" s="769" t="s">
        <v>242</v>
      </c>
      <c r="CI12" s="136"/>
      <c r="CJ12" s="136"/>
      <c r="CK12" s="136">
        <f t="shared" si="3"/>
        <v>0</v>
      </c>
      <c r="CL12" s="143">
        <f>1.8*20%</f>
        <v>0.36000000000000004</v>
      </c>
      <c r="CM12" s="145">
        <f t="shared" si="19"/>
        <v>0</v>
      </c>
      <c r="CN12" s="143"/>
      <c r="CO12" s="145">
        <f t="shared" si="20"/>
        <v>0</v>
      </c>
      <c r="CP12" s="143"/>
      <c r="CQ12" s="145">
        <f t="shared" si="21"/>
        <v>0</v>
      </c>
      <c r="CR12" s="143">
        <f t="shared" si="34"/>
        <v>0</v>
      </c>
      <c r="CS12" s="145">
        <f t="shared" si="22"/>
        <v>0</v>
      </c>
      <c r="CT12" s="162" t="s">
        <v>323</v>
      </c>
      <c r="CV12" s="771" t="s">
        <v>630</v>
      </c>
      <c r="CW12" s="769" t="s">
        <v>17</v>
      </c>
      <c r="CX12" s="136"/>
      <c r="CY12" s="136"/>
      <c r="CZ12" s="136">
        <f t="shared" si="4"/>
        <v>0</v>
      </c>
      <c r="DA12" s="143">
        <f>0.023*20%</f>
        <v>4.5999999999999999E-3</v>
      </c>
      <c r="DB12" s="145">
        <f t="shared" si="23"/>
        <v>0</v>
      </c>
      <c r="DC12" s="143"/>
      <c r="DD12" s="145">
        <f t="shared" si="24"/>
        <v>0</v>
      </c>
      <c r="DE12" s="143"/>
      <c r="DF12" s="145">
        <f t="shared" si="25"/>
        <v>0</v>
      </c>
      <c r="DG12" s="143">
        <f t="shared" si="35"/>
        <v>0</v>
      </c>
      <c r="DH12" s="145">
        <f t="shared" si="26"/>
        <v>0</v>
      </c>
      <c r="DI12" s="162" t="s">
        <v>632</v>
      </c>
      <c r="DK12" s="767"/>
      <c r="DL12" s="769"/>
      <c r="DM12" s="136"/>
      <c r="DN12" s="136"/>
      <c r="DO12" s="136">
        <f t="shared" si="5"/>
        <v>0</v>
      </c>
      <c r="DP12" s="143"/>
      <c r="DQ12" s="145">
        <f t="shared" si="27"/>
        <v>0</v>
      </c>
      <c r="DR12" s="143"/>
      <c r="DS12" s="145">
        <f t="shared" si="28"/>
        <v>0</v>
      </c>
      <c r="DT12" s="143"/>
      <c r="DU12" s="145">
        <f t="shared" si="29"/>
        <v>0</v>
      </c>
      <c r="DV12" s="143">
        <f t="shared" si="36"/>
        <v>0</v>
      </c>
      <c r="DW12" s="145">
        <f t="shared" si="30"/>
        <v>0</v>
      </c>
      <c r="DX12" s="162"/>
    </row>
    <row r="13" spans="1:128">
      <c r="B13" s="662"/>
      <c r="C13" s="87">
        <f>+BI48</f>
        <v>0</v>
      </c>
      <c r="D13" s="87">
        <f>+BK48</f>
        <v>0</v>
      </c>
      <c r="E13" s="87">
        <f>+BH48</f>
        <v>0</v>
      </c>
      <c r="F13" s="87">
        <f>+BO48</f>
        <v>0</v>
      </c>
      <c r="G13" s="87"/>
      <c r="H13" s="12"/>
      <c r="J13" s="768"/>
      <c r="K13" s="770"/>
      <c r="L13" s="138"/>
      <c r="M13" s="139"/>
      <c r="N13" s="139"/>
      <c r="O13" s="144"/>
      <c r="P13" s="146"/>
      <c r="Q13" s="144"/>
      <c r="R13" s="146"/>
      <c r="S13" s="144"/>
      <c r="T13" s="146"/>
      <c r="U13" s="144"/>
      <c r="V13" s="146"/>
      <c r="W13" s="166"/>
      <c r="Y13" s="768"/>
      <c r="Z13" s="770"/>
      <c r="AA13" s="138"/>
      <c r="AB13" s="139"/>
      <c r="AC13" s="139">
        <f t="shared" si="1"/>
        <v>0</v>
      </c>
      <c r="AD13" s="144"/>
      <c r="AE13" s="146">
        <f t="shared" si="6"/>
        <v>0</v>
      </c>
      <c r="AF13" s="144"/>
      <c r="AG13" s="146"/>
      <c r="AH13" s="144"/>
      <c r="AI13" s="146">
        <f t="shared" si="8"/>
        <v>0</v>
      </c>
      <c r="AJ13" s="144">
        <f t="shared" si="31"/>
        <v>0</v>
      </c>
      <c r="AK13" s="146">
        <f t="shared" si="9"/>
        <v>0</v>
      </c>
      <c r="AL13" s="166" t="s">
        <v>326</v>
      </c>
      <c r="AN13" s="768"/>
      <c r="AO13" s="770"/>
      <c r="AP13" s="138"/>
      <c r="AQ13" s="139"/>
      <c r="AR13" s="139"/>
      <c r="AS13" s="144"/>
      <c r="AT13" s="146"/>
      <c r="AU13" s="144"/>
      <c r="AV13" s="146"/>
      <c r="AW13" s="144"/>
      <c r="AX13" s="146"/>
      <c r="AY13" s="144"/>
      <c r="AZ13" s="146"/>
      <c r="BA13" s="166"/>
      <c r="BC13" s="768"/>
      <c r="BD13" s="770"/>
      <c r="BE13" s="138"/>
      <c r="BF13" s="139"/>
      <c r="BG13" s="139"/>
      <c r="BH13" s="144"/>
      <c r="BI13" s="146"/>
      <c r="BJ13" s="144"/>
      <c r="BK13" s="146"/>
      <c r="BL13" s="144"/>
      <c r="BM13" s="146"/>
      <c r="BN13" s="144"/>
      <c r="BO13" s="146"/>
      <c r="BP13" s="166"/>
      <c r="BR13" s="768"/>
      <c r="BS13" s="770"/>
      <c r="BT13" s="138"/>
      <c r="BU13" s="139"/>
      <c r="BV13" s="139">
        <f t="shared" si="14"/>
        <v>0</v>
      </c>
      <c r="BW13" s="144"/>
      <c r="BX13" s="146">
        <f t="shared" si="15"/>
        <v>0</v>
      </c>
      <c r="BY13" s="144"/>
      <c r="BZ13" s="146">
        <f t="shared" si="16"/>
        <v>0</v>
      </c>
      <c r="CA13" s="144"/>
      <c r="CB13" s="146">
        <f t="shared" si="17"/>
        <v>0</v>
      </c>
      <c r="CC13" s="144">
        <f t="shared" si="33"/>
        <v>0</v>
      </c>
      <c r="CD13" s="146">
        <f t="shared" si="18"/>
        <v>0</v>
      </c>
      <c r="CE13" s="166"/>
      <c r="CG13" s="768"/>
      <c r="CH13" s="770"/>
      <c r="CI13" s="138"/>
      <c r="CJ13" s="139"/>
      <c r="CK13" s="139">
        <f t="shared" si="3"/>
        <v>0</v>
      </c>
      <c r="CL13" s="144"/>
      <c r="CM13" s="146">
        <f t="shared" si="19"/>
        <v>0</v>
      </c>
      <c r="CN13" s="144"/>
      <c r="CO13" s="146">
        <f t="shared" si="20"/>
        <v>0</v>
      </c>
      <c r="CP13" s="144"/>
      <c r="CQ13" s="146">
        <f t="shared" si="21"/>
        <v>0</v>
      </c>
      <c r="CR13" s="144">
        <f t="shared" si="34"/>
        <v>0</v>
      </c>
      <c r="CS13" s="146">
        <f t="shared" si="22"/>
        <v>0</v>
      </c>
      <c r="CT13" s="166"/>
      <c r="CV13" s="768"/>
      <c r="CW13" s="770"/>
      <c r="CX13" s="138"/>
      <c r="CY13" s="139"/>
      <c r="CZ13" s="139">
        <f t="shared" si="4"/>
        <v>0</v>
      </c>
      <c r="DA13" s="144"/>
      <c r="DB13" s="146">
        <f t="shared" si="23"/>
        <v>0</v>
      </c>
      <c r="DC13" s="144"/>
      <c r="DD13" s="146">
        <f t="shared" si="24"/>
        <v>0</v>
      </c>
      <c r="DE13" s="144"/>
      <c r="DF13" s="146">
        <f t="shared" si="25"/>
        <v>0</v>
      </c>
      <c r="DG13" s="144">
        <f t="shared" si="35"/>
        <v>0</v>
      </c>
      <c r="DH13" s="146">
        <f t="shared" si="26"/>
        <v>0</v>
      </c>
      <c r="DI13" s="166" t="s">
        <v>325</v>
      </c>
      <c r="DK13" s="768"/>
      <c r="DL13" s="770"/>
      <c r="DM13" s="138"/>
      <c r="DN13" s="139"/>
      <c r="DO13" s="139">
        <f t="shared" si="5"/>
        <v>0</v>
      </c>
      <c r="DP13" s="144"/>
      <c r="DQ13" s="146">
        <f t="shared" si="27"/>
        <v>0</v>
      </c>
      <c r="DR13" s="144"/>
      <c r="DS13" s="146">
        <f t="shared" si="28"/>
        <v>0</v>
      </c>
      <c r="DT13" s="144"/>
      <c r="DU13" s="146">
        <f t="shared" si="29"/>
        <v>0</v>
      </c>
      <c r="DV13" s="144">
        <f t="shared" si="36"/>
        <v>0</v>
      </c>
      <c r="DW13" s="146">
        <f t="shared" si="30"/>
        <v>0</v>
      </c>
      <c r="DX13" s="166"/>
    </row>
    <row r="14" spans="1:128">
      <c r="B14" s="661" t="s">
        <v>302</v>
      </c>
      <c r="C14" s="88">
        <f>+BX47</f>
        <v>0</v>
      </c>
      <c r="D14" s="88">
        <f>+BZ47</f>
        <v>0</v>
      </c>
      <c r="E14" s="88">
        <f>+CB47</f>
        <v>0</v>
      </c>
      <c r="F14" s="88">
        <f>+CD47</f>
        <v>0</v>
      </c>
      <c r="G14" s="88"/>
      <c r="H14" s="10"/>
      <c r="J14" s="767"/>
      <c r="K14" s="769"/>
      <c r="L14" s="136"/>
      <c r="M14" s="136"/>
      <c r="N14" s="136"/>
      <c r="O14" s="143"/>
      <c r="P14" s="145"/>
      <c r="Q14" s="143"/>
      <c r="R14" s="145"/>
      <c r="S14" s="143"/>
      <c r="T14" s="145"/>
      <c r="U14" s="143"/>
      <c r="V14" s="145"/>
      <c r="W14" s="162"/>
      <c r="Y14" s="771" t="s">
        <v>318</v>
      </c>
      <c r="Z14" s="769" t="s">
        <v>17</v>
      </c>
      <c r="AA14" s="136"/>
      <c r="AB14" s="136">
        <v>0.1</v>
      </c>
      <c r="AC14" s="136">
        <f t="shared" si="1"/>
        <v>0</v>
      </c>
      <c r="AD14" s="143">
        <v>1.2E-2</v>
      </c>
      <c r="AE14" s="145">
        <f t="shared" si="6"/>
        <v>0</v>
      </c>
      <c r="AF14" s="143"/>
      <c r="AG14" s="145"/>
      <c r="AH14" s="143"/>
      <c r="AI14" s="145">
        <f t="shared" si="8"/>
        <v>0</v>
      </c>
      <c r="AJ14" s="143">
        <f t="shared" si="31"/>
        <v>0</v>
      </c>
      <c r="AK14" s="145">
        <f t="shared" si="9"/>
        <v>0</v>
      </c>
      <c r="AL14" s="162" t="s">
        <v>755</v>
      </c>
      <c r="AN14" s="771"/>
      <c r="AO14" s="769"/>
      <c r="AP14" s="136"/>
      <c r="AQ14" s="136"/>
      <c r="AR14" s="136">
        <f t="shared" ref="AR14:AR43" si="37">+IF(AQ14&gt;0,ROUND(AP14*(1+AQ14),2),AP14)</f>
        <v>0</v>
      </c>
      <c r="AS14" s="143"/>
      <c r="AT14" s="145">
        <f t="shared" ref="AT14:AT43" si="38">+IF(AND(AR14&gt;0,AS14&gt;0),AR14*AS14,0)</f>
        <v>0</v>
      </c>
      <c r="AU14" s="143"/>
      <c r="AV14" s="145">
        <f t="shared" ref="AV14:AV43" si="39">+IF(AND(AR14&gt;0,AU14&gt;0),AR14*AU14,0)</f>
        <v>0</v>
      </c>
      <c r="AW14" s="143"/>
      <c r="AX14" s="145">
        <f t="shared" ref="AX14:AX43" si="40">+IF(AND(AR14&gt;0,AW14&gt;0),AR14*AW14,0)</f>
        <v>0</v>
      </c>
      <c r="AY14" s="143">
        <f t="shared" ref="AY14:AY43" si="41">+IF(AND(AO14&gt;=1,AO14&lt;=6),ROUND(AQ14*AT14,3),0)</f>
        <v>0</v>
      </c>
      <c r="AZ14" s="145">
        <f t="shared" ref="AZ14:AZ43" si="42">+IF(AND(AR14&gt;0,AY14&gt;0),AR14*AY14,0)</f>
        <v>0</v>
      </c>
      <c r="BA14" s="162"/>
      <c r="BC14" s="771"/>
      <c r="BD14" s="769"/>
      <c r="BE14" s="136"/>
      <c r="BF14" s="136"/>
      <c r="BG14" s="136"/>
      <c r="BH14" s="143"/>
      <c r="BI14" s="145">
        <f t="shared" ref="BI14:BI43" si="43">+IF(AND(BG14&gt;0,BH14&gt;0),BG14*BH14,0)</f>
        <v>0</v>
      </c>
      <c r="BJ14" s="143"/>
      <c r="BK14" s="145">
        <f t="shared" ref="BK14:BK43" si="44">+IF(AND(BG14&gt;0,BJ14&gt;0),BG14*BJ14,0)</f>
        <v>0</v>
      </c>
      <c r="BL14" s="143"/>
      <c r="BM14" s="145">
        <f t="shared" ref="BM14:BM43" si="45">+IF(AND(BG14&gt;0,BL14&gt;0),BG14*BL14,0)</f>
        <v>0</v>
      </c>
      <c r="BN14" s="143">
        <f t="shared" ref="BN14:BN43" si="46">+IF(AND(BD14&gt;=1,BD14&lt;=6),ROUND(BF14*BI14,3),0)</f>
        <v>0</v>
      </c>
      <c r="BO14" s="145">
        <f t="shared" ref="BO14:BO43" si="47">+IF(AND(BG14&gt;0,BN14&gt;0),BG14*BN14,0)</f>
        <v>0</v>
      </c>
      <c r="BP14" s="165"/>
      <c r="BR14" s="767"/>
      <c r="BS14" s="769"/>
      <c r="BT14" s="136"/>
      <c r="BU14" s="136"/>
      <c r="BV14" s="136">
        <f t="shared" si="14"/>
        <v>0</v>
      </c>
      <c r="BW14" s="143"/>
      <c r="BX14" s="145">
        <f t="shared" si="15"/>
        <v>0</v>
      </c>
      <c r="BY14" s="143"/>
      <c r="BZ14" s="145">
        <f t="shared" si="16"/>
        <v>0</v>
      </c>
      <c r="CA14" s="143"/>
      <c r="CB14" s="145">
        <f t="shared" si="17"/>
        <v>0</v>
      </c>
      <c r="CC14" s="143">
        <f t="shared" si="33"/>
        <v>0</v>
      </c>
      <c r="CD14" s="145">
        <f t="shared" si="18"/>
        <v>0</v>
      </c>
      <c r="CE14" s="165"/>
      <c r="CG14" s="767"/>
      <c r="CH14" s="769"/>
      <c r="CI14" s="136"/>
      <c r="CJ14" s="136"/>
      <c r="CK14" s="136">
        <f t="shared" si="3"/>
        <v>0</v>
      </c>
      <c r="CL14" s="143"/>
      <c r="CM14" s="145">
        <f t="shared" si="19"/>
        <v>0</v>
      </c>
      <c r="CN14" s="143"/>
      <c r="CO14" s="145">
        <f t="shared" si="20"/>
        <v>0</v>
      </c>
      <c r="CP14" s="143"/>
      <c r="CQ14" s="145">
        <f t="shared" si="21"/>
        <v>0</v>
      </c>
      <c r="CR14" s="143">
        <f t="shared" si="34"/>
        <v>0</v>
      </c>
      <c r="CS14" s="145">
        <f t="shared" si="22"/>
        <v>0</v>
      </c>
      <c r="CT14" s="165"/>
      <c r="CV14" s="771" t="s">
        <v>318</v>
      </c>
      <c r="CW14" s="769" t="s">
        <v>17</v>
      </c>
      <c r="CX14" s="136"/>
      <c r="CY14" s="136"/>
      <c r="CZ14" s="136">
        <f t="shared" si="4"/>
        <v>0</v>
      </c>
      <c r="DA14" s="143">
        <f>0.023*20%</f>
        <v>4.5999999999999999E-3</v>
      </c>
      <c r="DB14" s="145">
        <f t="shared" si="23"/>
        <v>0</v>
      </c>
      <c r="DC14" s="143"/>
      <c r="DD14" s="145">
        <f t="shared" si="24"/>
        <v>0</v>
      </c>
      <c r="DE14" s="143"/>
      <c r="DF14" s="145">
        <f t="shared" si="25"/>
        <v>0</v>
      </c>
      <c r="DG14" s="143">
        <f t="shared" si="35"/>
        <v>0</v>
      </c>
      <c r="DH14" s="145">
        <f t="shared" si="26"/>
        <v>0</v>
      </c>
      <c r="DI14" s="162" t="s">
        <v>632</v>
      </c>
      <c r="DK14" s="767"/>
      <c r="DL14" s="769"/>
      <c r="DM14" s="136"/>
      <c r="DN14" s="136"/>
      <c r="DO14" s="136">
        <f t="shared" si="5"/>
        <v>0</v>
      </c>
      <c r="DP14" s="143"/>
      <c r="DQ14" s="145">
        <f t="shared" si="27"/>
        <v>0</v>
      </c>
      <c r="DR14" s="143"/>
      <c r="DS14" s="145">
        <f t="shared" si="28"/>
        <v>0</v>
      </c>
      <c r="DT14" s="143"/>
      <c r="DU14" s="145">
        <f t="shared" si="29"/>
        <v>0</v>
      </c>
      <c r="DV14" s="143">
        <f t="shared" si="36"/>
        <v>0</v>
      </c>
      <c r="DW14" s="145">
        <f t="shared" si="30"/>
        <v>0</v>
      </c>
      <c r="DX14" s="165"/>
    </row>
    <row r="15" spans="1:128">
      <c r="B15" s="662"/>
      <c r="C15" s="87">
        <f>+BX48</f>
        <v>0</v>
      </c>
      <c r="D15" s="87">
        <f>+BZ48</f>
        <v>0</v>
      </c>
      <c r="E15" s="87">
        <f>+CB48</f>
        <v>0</v>
      </c>
      <c r="F15" s="87">
        <f>+CD48</f>
        <v>0</v>
      </c>
      <c r="G15" s="87"/>
      <c r="H15" s="12"/>
      <c r="J15" s="768"/>
      <c r="K15" s="770"/>
      <c r="L15" s="138"/>
      <c r="M15" s="139"/>
      <c r="N15" s="139"/>
      <c r="O15" s="144"/>
      <c r="P15" s="146"/>
      <c r="Q15" s="144"/>
      <c r="R15" s="146"/>
      <c r="S15" s="144"/>
      <c r="T15" s="146"/>
      <c r="U15" s="144"/>
      <c r="V15" s="146"/>
      <c r="W15" s="166"/>
      <c r="Y15" s="768"/>
      <c r="Z15" s="770"/>
      <c r="AA15" s="138"/>
      <c r="AB15" s="139"/>
      <c r="AC15" s="139">
        <f t="shared" si="1"/>
        <v>0</v>
      </c>
      <c r="AD15" s="144"/>
      <c r="AE15" s="146">
        <f t="shared" si="6"/>
        <v>0</v>
      </c>
      <c r="AF15" s="144"/>
      <c r="AG15" s="146"/>
      <c r="AH15" s="144"/>
      <c r="AI15" s="146">
        <f t="shared" si="8"/>
        <v>0</v>
      </c>
      <c r="AJ15" s="144">
        <f t="shared" si="31"/>
        <v>0</v>
      </c>
      <c r="AK15" s="146">
        <f t="shared" si="9"/>
        <v>0</v>
      </c>
      <c r="AL15" s="166" t="s">
        <v>326</v>
      </c>
      <c r="AN15" s="768"/>
      <c r="AO15" s="770"/>
      <c r="AP15" s="138"/>
      <c r="AQ15" s="139"/>
      <c r="AR15" s="139">
        <f t="shared" si="37"/>
        <v>0</v>
      </c>
      <c r="AS15" s="144"/>
      <c r="AT15" s="146">
        <f t="shared" si="38"/>
        <v>0</v>
      </c>
      <c r="AU15" s="144"/>
      <c r="AV15" s="146">
        <f t="shared" si="39"/>
        <v>0</v>
      </c>
      <c r="AW15" s="144"/>
      <c r="AX15" s="146">
        <f t="shared" si="40"/>
        <v>0</v>
      </c>
      <c r="AY15" s="144">
        <f t="shared" si="41"/>
        <v>0</v>
      </c>
      <c r="AZ15" s="146">
        <f>+IF(AND(AR15&gt;0,AY15&gt;0),AR15*AY15,0)</f>
        <v>0</v>
      </c>
      <c r="BA15" s="163"/>
      <c r="BC15" s="768"/>
      <c r="BD15" s="770"/>
      <c r="BE15" s="138"/>
      <c r="BF15" s="139"/>
      <c r="BG15" s="139"/>
      <c r="BH15" s="144"/>
      <c r="BI15" s="146">
        <f t="shared" si="43"/>
        <v>0</v>
      </c>
      <c r="BJ15" s="144"/>
      <c r="BK15" s="146">
        <f t="shared" si="44"/>
        <v>0</v>
      </c>
      <c r="BL15" s="144"/>
      <c r="BM15" s="146">
        <f t="shared" si="45"/>
        <v>0</v>
      </c>
      <c r="BN15" s="144">
        <f t="shared" si="46"/>
        <v>0</v>
      </c>
      <c r="BO15" s="146">
        <f t="shared" si="47"/>
        <v>0</v>
      </c>
      <c r="BP15" s="166"/>
      <c r="BR15" s="768"/>
      <c r="BS15" s="770"/>
      <c r="BT15" s="138"/>
      <c r="BU15" s="139"/>
      <c r="BV15" s="139">
        <f t="shared" si="14"/>
        <v>0</v>
      </c>
      <c r="BW15" s="144"/>
      <c r="BX15" s="146">
        <f t="shared" si="15"/>
        <v>0</v>
      </c>
      <c r="BY15" s="144"/>
      <c r="BZ15" s="146">
        <f t="shared" si="16"/>
        <v>0</v>
      </c>
      <c r="CA15" s="144"/>
      <c r="CB15" s="146">
        <f t="shared" si="17"/>
        <v>0</v>
      </c>
      <c r="CC15" s="144">
        <f t="shared" si="33"/>
        <v>0</v>
      </c>
      <c r="CD15" s="146">
        <f t="shared" si="18"/>
        <v>0</v>
      </c>
      <c r="CE15" s="166"/>
      <c r="CG15" s="768"/>
      <c r="CH15" s="770"/>
      <c r="CI15" s="138"/>
      <c r="CJ15" s="139"/>
      <c r="CK15" s="139">
        <f t="shared" si="3"/>
        <v>0</v>
      </c>
      <c r="CL15" s="144"/>
      <c r="CM15" s="146">
        <f t="shared" si="19"/>
        <v>0</v>
      </c>
      <c r="CN15" s="144"/>
      <c r="CO15" s="146">
        <f t="shared" si="20"/>
        <v>0</v>
      </c>
      <c r="CP15" s="144"/>
      <c r="CQ15" s="146">
        <f t="shared" si="21"/>
        <v>0</v>
      </c>
      <c r="CR15" s="144">
        <f t="shared" si="34"/>
        <v>0</v>
      </c>
      <c r="CS15" s="146">
        <f t="shared" si="22"/>
        <v>0</v>
      </c>
      <c r="CT15" s="166"/>
      <c r="CV15" s="768"/>
      <c r="CW15" s="770"/>
      <c r="CX15" s="138"/>
      <c r="CY15" s="139"/>
      <c r="CZ15" s="139">
        <f t="shared" si="4"/>
        <v>0</v>
      </c>
      <c r="DA15" s="144"/>
      <c r="DB15" s="146">
        <f t="shared" si="23"/>
        <v>0</v>
      </c>
      <c r="DC15" s="144"/>
      <c r="DD15" s="146">
        <f t="shared" si="24"/>
        <v>0</v>
      </c>
      <c r="DE15" s="144"/>
      <c r="DF15" s="146">
        <f t="shared" si="25"/>
        <v>0</v>
      </c>
      <c r="DG15" s="144">
        <f t="shared" si="35"/>
        <v>0</v>
      </c>
      <c r="DH15" s="146">
        <f t="shared" si="26"/>
        <v>0</v>
      </c>
      <c r="DI15" s="166" t="s">
        <v>325</v>
      </c>
      <c r="DK15" s="768"/>
      <c r="DL15" s="770"/>
      <c r="DM15" s="138"/>
      <c r="DN15" s="139"/>
      <c r="DO15" s="139">
        <f t="shared" si="5"/>
        <v>0</v>
      </c>
      <c r="DP15" s="144"/>
      <c r="DQ15" s="146">
        <f t="shared" si="27"/>
        <v>0</v>
      </c>
      <c r="DR15" s="144"/>
      <c r="DS15" s="146">
        <f t="shared" si="28"/>
        <v>0</v>
      </c>
      <c r="DT15" s="144"/>
      <c r="DU15" s="146">
        <f t="shared" si="29"/>
        <v>0</v>
      </c>
      <c r="DV15" s="144">
        <f t="shared" si="36"/>
        <v>0</v>
      </c>
      <c r="DW15" s="146">
        <f t="shared" si="30"/>
        <v>0</v>
      </c>
      <c r="DX15" s="166"/>
    </row>
    <row r="16" spans="1:128" ht="18.75" customHeight="1">
      <c r="B16" s="661"/>
      <c r="C16" s="88">
        <f>+CM47</f>
        <v>0</v>
      </c>
      <c r="D16" s="88">
        <f>+CO47</f>
        <v>0</v>
      </c>
      <c r="E16" s="88">
        <f>+CQ47</f>
        <v>0</v>
      </c>
      <c r="F16" s="88">
        <f>+CS47</f>
        <v>0</v>
      </c>
      <c r="G16" s="88"/>
      <c r="H16" s="10"/>
      <c r="J16" s="767"/>
      <c r="K16" s="769"/>
      <c r="L16" s="136"/>
      <c r="M16" s="136"/>
      <c r="N16" s="136"/>
      <c r="O16" s="143"/>
      <c r="P16" s="145"/>
      <c r="Q16" s="143"/>
      <c r="R16" s="145"/>
      <c r="S16" s="143"/>
      <c r="T16" s="145"/>
      <c r="U16" s="143"/>
      <c r="V16" s="145"/>
      <c r="W16" s="162"/>
      <c r="Y16" s="771" t="s">
        <v>319</v>
      </c>
      <c r="Z16" s="769" t="s">
        <v>17</v>
      </c>
      <c r="AA16" s="136"/>
      <c r="AB16" s="136">
        <v>0.1</v>
      </c>
      <c r="AC16" s="136">
        <f t="shared" si="1"/>
        <v>0</v>
      </c>
      <c r="AD16" s="143">
        <v>1.2E-2</v>
      </c>
      <c r="AE16" s="145">
        <f t="shared" si="6"/>
        <v>0</v>
      </c>
      <c r="AF16" s="143"/>
      <c r="AG16" s="145"/>
      <c r="AH16" s="143"/>
      <c r="AI16" s="145">
        <f t="shared" si="8"/>
        <v>0</v>
      </c>
      <c r="AJ16" s="143">
        <f t="shared" si="31"/>
        <v>0</v>
      </c>
      <c r="AK16" s="145">
        <f t="shared" si="9"/>
        <v>0</v>
      </c>
      <c r="AL16" s="162" t="s">
        <v>755</v>
      </c>
      <c r="AN16" s="771"/>
      <c r="AO16" s="769"/>
      <c r="AP16" s="136"/>
      <c r="AQ16" s="136"/>
      <c r="AR16" s="136">
        <f t="shared" si="37"/>
        <v>0</v>
      </c>
      <c r="AS16" s="143"/>
      <c r="AT16" s="145">
        <f t="shared" si="38"/>
        <v>0</v>
      </c>
      <c r="AU16" s="143"/>
      <c r="AV16" s="145">
        <f t="shared" si="39"/>
        <v>0</v>
      </c>
      <c r="AW16" s="143"/>
      <c r="AX16" s="145">
        <f t="shared" si="40"/>
        <v>0</v>
      </c>
      <c r="AY16" s="143">
        <f t="shared" si="41"/>
        <v>0</v>
      </c>
      <c r="AZ16" s="145">
        <f t="shared" si="42"/>
        <v>0</v>
      </c>
      <c r="BA16" s="162"/>
      <c r="BC16" s="767"/>
      <c r="BD16" s="769"/>
      <c r="BE16" s="136"/>
      <c r="BF16" s="136"/>
      <c r="BG16" s="136">
        <f t="shared" ref="BG16:BG43" si="48">+IF(BF16&gt;0,ROUND(BE16*(1+BF16),2),BE16)</f>
        <v>0</v>
      </c>
      <c r="BH16" s="143"/>
      <c r="BI16" s="145">
        <f t="shared" si="43"/>
        <v>0</v>
      </c>
      <c r="BJ16" s="143"/>
      <c r="BK16" s="145">
        <f t="shared" si="44"/>
        <v>0</v>
      </c>
      <c r="BL16" s="143"/>
      <c r="BM16" s="145">
        <f t="shared" si="45"/>
        <v>0</v>
      </c>
      <c r="BN16" s="143">
        <f t="shared" si="46"/>
        <v>0</v>
      </c>
      <c r="BO16" s="145">
        <f t="shared" si="47"/>
        <v>0</v>
      </c>
      <c r="BP16" s="165"/>
      <c r="BR16" s="767"/>
      <c r="BS16" s="769"/>
      <c r="BT16" s="136"/>
      <c r="BU16" s="136"/>
      <c r="BV16" s="136">
        <f t="shared" si="14"/>
        <v>0</v>
      </c>
      <c r="BW16" s="143"/>
      <c r="BX16" s="145">
        <f t="shared" si="15"/>
        <v>0</v>
      </c>
      <c r="BY16" s="143"/>
      <c r="BZ16" s="145">
        <f t="shared" si="16"/>
        <v>0</v>
      </c>
      <c r="CA16" s="143"/>
      <c r="CB16" s="145">
        <f t="shared" si="17"/>
        <v>0</v>
      </c>
      <c r="CC16" s="143">
        <f t="shared" si="33"/>
        <v>0</v>
      </c>
      <c r="CD16" s="145">
        <f t="shared" si="18"/>
        <v>0</v>
      </c>
      <c r="CE16" s="165"/>
      <c r="CG16" s="767"/>
      <c r="CH16" s="769"/>
      <c r="CI16" s="136"/>
      <c r="CJ16" s="136"/>
      <c r="CK16" s="136">
        <f t="shared" si="3"/>
        <v>0</v>
      </c>
      <c r="CL16" s="143"/>
      <c r="CM16" s="145">
        <f t="shared" si="19"/>
        <v>0</v>
      </c>
      <c r="CN16" s="143"/>
      <c r="CO16" s="145">
        <f t="shared" si="20"/>
        <v>0</v>
      </c>
      <c r="CP16" s="143"/>
      <c r="CQ16" s="145">
        <f t="shared" si="21"/>
        <v>0</v>
      </c>
      <c r="CR16" s="143">
        <f t="shared" si="34"/>
        <v>0</v>
      </c>
      <c r="CS16" s="145">
        <f t="shared" si="22"/>
        <v>0</v>
      </c>
      <c r="CT16" s="165"/>
      <c r="CV16" s="771" t="s">
        <v>319</v>
      </c>
      <c r="CW16" s="769" t="s">
        <v>17</v>
      </c>
      <c r="CX16" s="136"/>
      <c r="CY16" s="136"/>
      <c r="CZ16" s="136">
        <f t="shared" si="4"/>
        <v>0</v>
      </c>
      <c r="DA16" s="143">
        <f>0.012*20%</f>
        <v>2.4000000000000002E-3</v>
      </c>
      <c r="DB16" s="145">
        <f t="shared" si="23"/>
        <v>0</v>
      </c>
      <c r="DC16" s="143"/>
      <c r="DD16" s="145">
        <f t="shared" si="24"/>
        <v>0</v>
      </c>
      <c r="DE16" s="143"/>
      <c r="DF16" s="145">
        <f t="shared" si="25"/>
        <v>0</v>
      </c>
      <c r="DG16" s="143">
        <f t="shared" si="35"/>
        <v>0</v>
      </c>
      <c r="DH16" s="145">
        <f t="shared" si="26"/>
        <v>0</v>
      </c>
      <c r="DI16" s="162" t="s">
        <v>632</v>
      </c>
      <c r="DK16" s="767"/>
      <c r="DL16" s="769"/>
      <c r="DM16" s="136"/>
      <c r="DN16" s="136"/>
      <c r="DO16" s="136">
        <f t="shared" si="5"/>
        <v>0</v>
      </c>
      <c r="DP16" s="143"/>
      <c r="DQ16" s="145">
        <f t="shared" si="27"/>
        <v>0</v>
      </c>
      <c r="DR16" s="143"/>
      <c r="DS16" s="145">
        <f t="shared" si="28"/>
        <v>0</v>
      </c>
      <c r="DT16" s="143"/>
      <c r="DU16" s="145">
        <f t="shared" si="29"/>
        <v>0</v>
      </c>
      <c r="DV16" s="143">
        <f t="shared" si="36"/>
        <v>0</v>
      </c>
      <c r="DW16" s="145">
        <f t="shared" si="30"/>
        <v>0</v>
      </c>
      <c r="DX16" s="165"/>
    </row>
    <row r="17" spans="2:128">
      <c r="B17" s="662"/>
      <c r="C17" s="87">
        <f>+CM48</f>
        <v>0</v>
      </c>
      <c r="D17" s="87">
        <f>+CO48</f>
        <v>0</v>
      </c>
      <c r="E17" s="87">
        <f>+CQ48</f>
        <v>0</v>
      </c>
      <c r="F17" s="87">
        <f>+CS48</f>
        <v>0</v>
      </c>
      <c r="G17" s="87"/>
      <c r="H17" s="12"/>
      <c r="J17" s="768"/>
      <c r="K17" s="770"/>
      <c r="L17" s="138"/>
      <c r="M17" s="139"/>
      <c r="N17" s="139"/>
      <c r="O17" s="144"/>
      <c r="P17" s="146"/>
      <c r="Q17" s="144"/>
      <c r="R17" s="146"/>
      <c r="S17" s="144"/>
      <c r="T17" s="146"/>
      <c r="U17" s="144"/>
      <c r="V17" s="146"/>
      <c r="W17" s="166"/>
      <c r="Y17" s="768"/>
      <c r="Z17" s="770"/>
      <c r="AA17" s="138"/>
      <c r="AB17" s="139"/>
      <c r="AC17" s="139">
        <f t="shared" si="1"/>
        <v>0</v>
      </c>
      <c r="AD17" s="144"/>
      <c r="AE17" s="146">
        <f t="shared" si="6"/>
        <v>0</v>
      </c>
      <c r="AF17" s="144"/>
      <c r="AG17" s="146"/>
      <c r="AH17" s="144"/>
      <c r="AI17" s="146">
        <f t="shared" si="8"/>
        <v>0</v>
      </c>
      <c r="AJ17" s="144">
        <f t="shared" si="31"/>
        <v>0</v>
      </c>
      <c r="AK17" s="146">
        <f t="shared" si="9"/>
        <v>0</v>
      </c>
      <c r="AL17" s="166" t="s">
        <v>326</v>
      </c>
      <c r="AN17" s="768"/>
      <c r="AO17" s="770"/>
      <c r="AP17" s="138"/>
      <c r="AQ17" s="139"/>
      <c r="AR17" s="139">
        <f t="shared" si="37"/>
        <v>0</v>
      </c>
      <c r="AS17" s="144"/>
      <c r="AT17" s="146">
        <f t="shared" si="38"/>
        <v>0</v>
      </c>
      <c r="AU17" s="144"/>
      <c r="AV17" s="146">
        <f t="shared" si="39"/>
        <v>0</v>
      </c>
      <c r="AW17" s="144"/>
      <c r="AX17" s="146">
        <f t="shared" si="40"/>
        <v>0</v>
      </c>
      <c r="AY17" s="144">
        <f t="shared" si="41"/>
        <v>0</v>
      </c>
      <c r="AZ17" s="146">
        <f t="shared" si="42"/>
        <v>0</v>
      </c>
      <c r="BA17" s="163"/>
      <c r="BC17" s="768"/>
      <c r="BD17" s="770"/>
      <c r="BE17" s="138"/>
      <c r="BF17" s="139"/>
      <c r="BG17" s="139">
        <f t="shared" si="48"/>
        <v>0</v>
      </c>
      <c r="BH17" s="144"/>
      <c r="BI17" s="146">
        <f t="shared" si="43"/>
        <v>0</v>
      </c>
      <c r="BJ17" s="144"/>
      <c r="BK17" s="146">
        <f t="shared" si="44"/>
        <v>0</v>
      </c>
      <c r="BL17" s="144"/>
      <c r="BM17" s="146">
        <f t="shared" si="45"/>
        <v>0</v>
      </c>
      <c r="BN17" s="144">
        <f t="shared" si="46"/>
        <v>0</v>
      </c>
      <c r="BO17" s="146">
        <f t="shared" si="47"/>
        <v>0</v>
      </c>
      <c r="BP17" s="166"/>
      <c r="BR17" s="768"/>
      <c r="BS17" s="770"/>
      <c r="BT17" s="138"/>
      <c r="BU17" s="139"/>
      <c r="BV17" s="139">
        <f t="shared" si="14"/>
        <v>0</v>
      </c>
      <c r="BW17" s="144"/>
      <c r="BX17" s="146">
        <f t="shared" si="15"/>
        <v>0</v>
      </c>
      <c r="BY17" s="144"/>
      <c r="BZ17" s="146">
        <f t="shared" si="16"/>
        <v>0</v>
      </c>
      <c r="CA17" s="144"/>
      <c r="CB17" s="146">
        <f t="shared" si="17"/>
        <v>0</v>
      </c>
      <c r="CC17" s="144">
        <f t="shared" si="33"/>
        <v>0</v>
      </c>
      <c r="CD17" s="146">
        <f t="shared" si="18"/>
        <v>0</v>
      </c>
      <c r="CE17" s="166"/>
      <c r="CG17" s="768"/>
      <c r="CH17" s="770"/>
      <c r="CI17" s="138"/>
      <c r="CJ17" s="139"/>
      <c r="CK17" s="139">
        <f t="shared" si="3"/>
        <v>0</v>
      </c>
      <c r="CL17" s="144"/>
      <c r="CM17" s="146">
        <f t="shared" si="19"/>
        <v>0</v>
      </c>
      <c r="CN17" s="144"/>
      <c r="CO17" s="146">
        <f t="shared" si="20"/>
        <v>0</v>
      </c>
      <c r="CP17" s="144"/>
      <c r="CQ17" s="146">
        <f t="shared" si="21"/>
        <v>0</v>
      </c>
      <c r="CR17" s="144">
        <f t="shared" si="34"/>
        <v>0</v>
      </c>
      <c r="CS17" s="146">
        <f t="shared" si="22"/>
        <v>0</v>
      </c>
      <c r="CT17" s="166"/>
      <c r="CV17" s="768"/>
      <c r="CW17" s="770"/>
      <c r="CX17" s="138"/>
      <c r="CY17" s="139"/>
      <c r="CZ17" s="139">
        <f t="shared" si="4"/>
        <v>0</v>
      </c>
      <c r="DA17" s="144"/>
      <c r="DB17" s="146">
        <f t="shared" si="23"/>
        <v>0</v>
      </c>
      <c r="DC17" s="144"/>
      <c r="DD17" s="146">
        <f t="shared" si="24"/>
        <v>0</v>
      </c>
      <c r="DE17" s="144"/>
      <c r="DF17" s="146">
        <f t="shared" si="25"/>
        <v>0</v>
      </c>
      <c r="DG17" s="144">
        <f t="shared" si="35"/>
        <v>0</v>
      </c>
      <c r="DH17" s="146">
        <f t="shared" si="26"/>
        <v>0</v>
      </c>
      <c r="DI17" s="166" t="s">
        <v>326</v>
      </c>
      <c r="DK17" s="768"/>
      <c r="DL17" s="770"/>
      <c r="DM17" s="138"/>
      <c r="DN17" s="139"/>
      <c r="DO17" s="139">
        <f t="shared" si="5"/>
        <v>0</v>
      </c>
      <c r="DP17" s="144"/>
      <c r="DQ17" s="146">
        <f t="shared" si="27"/>
        <v>0</v>
      </c>
      <c r="DR17" s="144"/>
      <c r="DS17" s="146">
        <f t="shared" si="28"/>
        <v>0</v>
      </c>
      <c r="DT17" s="144"/>
      <c r="DU17" s="146">
        <f t="shared" si="29"/>
        <v>0</v>
      </c>
      <c r="DV17" s="144">
        <f t="shared" si="36"/>
        <v>0</v>
      </c>
      <c r="DW17" s="146">
        <f t="shared" si="30"/>
        <v>0</v>
      </c>
      <c r="DX17" s="166"/>
    </row>
    <row r="18" spans="2:128" ht="18.75" customHeight="1">
      <c r="B18" s="661"/>
      <c r="C18" s="88">
        <f>+DB47</f>
        <v>0</v>
      </c>
      <c r="D18" s="88">
        <f>+DD47</f>
        <v>0</v>
      </c>
      <c r="E18" s="88">
        <f>+DF47</f>
        <v>0</v>
      </c>
      <c r="F18" s="88">
        <f>+DH47</f>
        <v>0</v>
      </c>
      <c r="G18" s="88"/>
      <c r="H18" s="10"/>
      <c r="J18" s="767"/>
      <c r="K18" s="769"/>
      <c r="L18" s="136"/>
      <c r="M18" s="136"/>
      <c r="N18" s="136">
        <f t="shared" ref="N18:N43" si="49">+IF(M18&gt;0,ROUND(L18*(1+M18),2),L18)</f>
        <v>0</v>
      </c>
      <c r="O18" s="143"/>
      <c r="P18" s="145">
        <f t="shared" ref="P18:P43" si="50">+IF(AND(N18&gt;0,O18&gt;0),N18*O18,0)</f>
        <v>0</v>
      </c>
      <c r="Q18" s="143"/>
      <c r="R18" s="145">
        <f t="shared" ref="R18:R43" si="51">+IF(AND(N18&gt;0,Q18&gt;0),N18*Q18,0)</f>
        <v>0</v>
      </c>
      <c r="S18" s="143"/>
      <c r="T18" s="145">
        <f t="shared" ref="T18:T43" si="52">+IF(AND(N18&gt;0,S18&gt;0),N18*S18,0)</f>
        <v>0</v>
      </c>
      <c r="U18" s="143">
        <f t="shared" ref="U18:U43" si="53">+IF(AND(K18&gt;=1,K18&lt;=6),ROUND(M18*P18,3),0)</f>
        <v>0</v>
      </c>
      <c r="V18" s="145">
        <f t="shared" ref="V18:V43" si="54">+IF(AND(N18&gt;0,U18&gt;0),N18*U18,0)</f>
        <v>0</v>
      </c>
      <c r="W18" s="165"/>
      <c r="Y18" s="771" t="s">
        <v>320</v>
      </c>
      <c r="Z18" s="769" t="s">
        <v>17</v>
      </c>
      <c r="AA18" s="136"/>
      <c r="AB18" s="136">
        <v>0.1</v>
      </c>
      <c r="AC18" s="136">
        <f t="shared" si="1"/>
        <v>0</v>
      </c>
      <c r="AD18" s="143">
        <v>1.2E-2</v>
      </c>
      <c r="AE18" s="145">
        <f t="shared" si="6"/>
        <v>0</v>
      </c>
      <c r="AF18" s="143"/>
      <c r="AG18" s="145"/>
      <c r="AH18" s="143"/>
      <c r="AI18" s="145">
        <f t="shared" si="8"/>
        <v>0</v>
      </c>
      <c r="AJ18" s="143">
        <f t="shared" si="31"/>
        <v>0</v>
      </c>
      <c r="AK18" s="145">
        <f t="shared" si="9"/>
        <v>0</v>
      </c>
      <c r="AL18" s="162" t="s">
        <v>755</v>
      </c>
      <c r="AN18" s="771"/>
      <c r="AO18" s="769"/>
      <c r="AP18" s="136"/>
      <c r="AQ18" s="136"/>
      <c r="AR18" s="136">
        <f t="shared" si="37"/>
        <v>0</v>
      </c>
      <c r="AS18" s="143"/>
      <c r="AT18" s="145">
        <f t="shared" si="38"/>
        <v>0</v>
      </c>
      <c r="AU18" s="143"/>
      <c r="AV18" s="145">
        <f t="shared" si="39"/>
        <v>0</v>
      </c>
      <c r="AW18" s="143"/>
      <c r="AX18" s="145">
        <f t="shared" si="40"/>
        <v>0</v>
      </c>
      <c r="AY18" s="143">
        <f t="shared" si="41"/>
        <v>0</v>
      </c>
      <c r="AZ18" s="145">
        <f t="shared" si="42"/>
        <v>0</v>
      </c>
      <c r="BA18" s="162"/>
      <c r="BC18" s="767"/>
      <c r="BD18" s="769"/>
      <c r="BE18" s="136"/>
      <c r="BF18" s="136"/>
      <c r="BG18" s="136">
        <f t="shared" si="48"/>
        <v>0</v>
      </c>
      <c r="BH18" s="143"/>
      <c r="BI18" s="145">
        <f t="shared" si="43"/>
        <v>0</v>
      </c>
      <c r="BJ18" s="143"/>
      <c r="BK18" s="145">
        <f t="shared" si="44"/>
        <v>0</v>
      </c>
      <c r="BL18" s="143"/>
      <c r="BM18" s="145">
        <f t="shared" si="45"/>
        <v>0</v>
      </c>
      <c r="BN18" s="143">
        <f t="shared" si="46"/>
        <v>0</v>
      </c>
      <c r="BO18" s="145">
        <f t="shared" si="47"/>
        <v>0</v>
      </c>
      <c r="BP18" s="165"/>
      <c r="BR18" s="767"/>
      <c r="BS18" s="769"/>
      <c r="BT18" s="136"/>
      <c r="BU18" s="136"/>
      <c r="BV18" s="136">
        <f t="shared" si="14"/>
        <v>0</v>
      </c>
      <c r="BW18" s="143"/>
      <c r="BX18" s="145">
        <f t="shared" si="15"/>
        <v>0</v>
      </c>
      <c r="BY18" s="143"/>
      <c r="BZ18" s="145">
        <f t="shared" si="16"/>
        <v>0</v>
      </c>
      <c r="CA18" s="143"/>
      <c r="CB18" s="145">
        <f t="shared" si="17"/>
        <v>0</v>
      </c>
      <c r="CC18" s="143">
        <f t="shared" si="33"/>
        <v>0</v>
      </c>
      <c r="CD18" s="145">
        <f t="shared" si="18"/>
        <v>0</v>
      </c>
      <c r="CE18" s="165"/>
      <c r="CG18" s="767"/>
      <c r="CH18" s="769"/>
      <c r="CI18" s="136"/>
      <c r="CJ18" s="136"/>
      <c r="CK18" s="136">
        <f t="shared" si="3"/>
        <v>0</v>
      </c>
      <c r="CL18" s="143"/>
      <c r="CM18" s="145">
        <f t="shared" si="19"/>
        <v>0</v>
      </c>
      <c r="CN18" s="143"/>
      <c r="CO18" s="145">
        <f t="shared" si="20"/>
        <v>0</v>
      </c>
      <c r="CP18" s="143"/>
      <c r="CQ18" s="145">
        <f t="shared" si="21"/>
        <v>0</v>
      </c>
      <c r="CR18" s="143">
        <f t="shared" si="34"/>
        <v>0</v>
      </c>
      <c r="CS18" s="145">
        <f t="shared" si="22"/>
        <v>0</v>
      </c>
      <c r="CT18" s="165"/>
      <c r="CV18" s="771" t="s">
        <v>320</v>
      </c>
      <c r="CW18" s="769" t="s">
        <v>17</v>
      </c>
      <c r="CX18" s="136"/>
      <c r="CY18" s="136"/>
      <c r="CZ18" s="136">
        <f t="shared" si="4"/>
        <v>0</v>
      </c>
      <c r="DA18" s="143">
        <f>0.012*20%</f>
        <v>2.4000000000000002E-3</v>
      </c>
      <c r="DB18" s="145">
        <f t="shared" si="23"/>
        <v>0</v>
      </c>
      <c r="DC18" s="143"/>
      <c r="DD18" s="145">
        <f t="shared" si="24"/>
        <v>0</v>
      </c>
      <c r="DE18" s="143"/>
      <c r="DF18" s="145">
        <f t="shared" si="25"/>
        <v>0</v>
      </c>
      <c r="DG18" s="143">
        <f t="shared" si="35"/>
        <v>0</v>
      </c>
      <c r="DH18" s="145">
        <f t="shared" si="26"/>
        <v>0</v>
      </c>
      <c r="DI18" s="162" t="s">
        <v>632</v>
      </c>
      <c r="DK18" s="767"/>
      <c r="DL18" s="769"/>
      <c r="DM18" s="136"/>
      <c r="DN18" s="136"/>
      <c r="DO18" s="136">
        <f t="shared" si="5"/>
        <v>0</v>
      </c>
      <c r="DP18" s="143"/>
      <c r="DQ18" s="145">
        <f t="shared" si="27"/>
        <v>0</v>
      </c>
      <c r="DR18" s="143"/>
      <c r="DS18" s="145">
        <f t="shared" si="28"/>
        <v>0</v>
      </c>
      <c r="DT18" s="143"/>
      <c r="DU18" s="145">
        <f t="shared" si="29"/>
        <v>0</v>
      </c>
      <c r="DV18" s="143">
        <f t="shared" si="36"/>
        <v>0</v>
      </c>
      <c r="DW18" s="145">
        <f t="shared" si="30"/>
        <v>0</v>
      </c>
      <c r="DX18" s="165"/>
    </row>
    <row r="19" spans="2:128">
      <c r="B19" s="662"/>
      <c r="C19" s="87">
        <f>+DB48</f>
        <v>0</v>
      </c>
      <c r="D19" s="87">
        <f>+DD48</f>
        <v>0</v>
      </c>
      <c r="E19" s="87">
        <f>+DF48</f>
        <v>0</v>
      </c>
      <c r="F19" s="87">
        <f>+DH48</f>
        <v>0</v>
      </c>
      <c r="G19" s="87"/>
      <c r="H19" s="12"/>
      <c r="J19" s="768"/>
      <c r="K19" s="770"/>
      <c r="L19" s="138"/>
      <c r="M19" s="139"/>
      <c r="N19" s="139">
        <f t="shared" si="49"/>
        <v>0</v>
      </c>
      <c r="O19" s="144"/>
      <c r="P19" s="146">
        <f t="shared" si="50"/>
        <v>0</v>
      </c>
      <c r="Q19" s="144"/>
      <c r="R19" s="146">
        <f t="shared" si="51"/>
        <v>0</v>
      </c>
      <c r="S19" s="144"/>
      <c r="T19" s="146">
        <f t="shared" si="52"/>
        <v>0</v>
      </c>
      <c r="U19" s="144">
        <f t="shared" si="53"/>
        <v>0</v>
      </c>
      <c r="V19" s="146">
        <f t="shared" si="54"/>
        <v>0</v>
      </c>
      <c r="W19" s="166"/>
      <c r="Y19" s="768"/>
      <c r="Z19" s="770"/>
      <c r="AA19" s="138"/>
      <c r="AB19" s="139"/>
      <c r="AC19" s="139">
        <f t="shared" si="1"/>
        <v>0</v>
      </c>
      <c r="AD19" s="144"/>
      <c r="AE19" s="146">
        <f t="shared" si="6"/>
        <v>0</v>
      </c>
      <c r="AF19" s="144"/>
      <c r="AG19" s="146">
        <f t="shared" si="7"/>
        <v>0</v>
      </c>
      <c r="AH19" s="144"/>
      <c r="AI19" s="146">
        <f t="shared" si="8"/>
        <v>0</v>
      </c>
      <c r="AJ19" s="144">
        <f t="shared" si="31"/>
        <v>0</v>
      </c>
      <c r="AK19" s="146">
        <f t="shared" si="9"/>
        <v>0</v>
      </c>
      <c r="AL19" s="166" t="s">
        <v>326</v>
      </c>
      <c r="AN19" s="768"/>
      <c r="AO19" s="770"/>
      <c r="AP19" s="138"/>
      <c r="AQ19" s="139"/>
      <c r="AR19" s="139">
        <f t="shared" si="37"/>
        <v>0</v>
      </c>
      <c r="AS19" s="144"/>
      <c r="AT19" s="146">
        <f t="shared" si="38"/>
        <v>0</v>
      </c>
      <c r="AU19" s="144"/>
      <c r="AV19" s="146">
        <f t="shared" si="39"/>
        <v>0</v>
      </c>
      <c r="AW19" s="144"/>
      <c r="AX19" s="146">
        <f t="shared" si="40"/>
        <v>0</v>
      </c>
      <c r="AY19" s="144">
        <f t="shared" si="41"/>
        <v>0</v>
      </c>
      <c r="AZ19" s="146">
        <f t="shared" si="42"/>
        <v>0</v>
      </c>
      <c r="BA19" s="163"/>
      <c r="BC19" s="768"/>
      <c r="BD19" s="770"/>
      <c r="BE19" s="138"/>
      <c r="BF19" s="139"/>
      <c r="BG19" s="139">
        <f t="shared" si="48"/>
        <v>0</v>
      </c>
      <c r="BH19" s="144"/>
      <c r="BI19" s="146">
        <f t="shared" si="43"/>
        <v>0</v>
      </c>
      <c r="BJ19" s="144"/>
      <c r="BK19" s="146">
        <f t="shared" si="44"/>
        <v>0</v>
      </c>
      <c r="BL19" s="144"/>
      <c r="BM19" s="146">
        <f t="shared" si="45"/>
        <v>0</v>
      </c>
      <c r="BN19" s="144">
        <f t="shared" si="46"/>
        <v>0</v>
      </c>
      <c r="BO19" s="146">
        <f t="shared" si="47"/>
        <v>0</v>
      </c>
      <c r="BP19" s="166"/>
      <c r="BR19" s="768"/>
      <c r="BS19" s="770"/>
      <c r="BT19" s="138"/>
      <c r="BU19" s="139"/>
      <c r="BV19" s="139">
        <f t="shared" si="14"/>
        <v>0</v>
      </c>
      <c r="BW19" s="144"/>
      <c r="BX19" s="146">
        <f t="shared" si="15"/>
        <v>0</v>
      </c>
      <c r="BY19" s="144"/>
      <c r="BZ19" s="146">
        <f t="shared" si="16"/>
        <v>0</v>
      </c>
      <c r="CA19" s="144"/>
      <c r="CB19" s="146">
        <f t="shared" si="17"/>
        <v>0</v>
      </c>
      <c r="CC19" s="144">
        <f t="shared" si="33"/>
        <v>0</v>
      </c>
      <c r="CD19" s="146">
        <f t="shared" si="18"/>
        <v>0</v>
      </c>
      <c r="CE19" s="166"/>
      <c r="CG19" s="768"/>
      <c r="CH19" s="770"/>
      <c r="CI19" s="138"/>
      <c r="CJ19" s="139"/>
      <c r="CK19" s="139">
        <f t="shared" si="3"/>
        <v>0</v>
      </c>
      <c r="CL19" s="144"/>
      <c r="CM19" s="146">
        <f t="shared" si="19"/>
        <v>0</v>
      </c>
      <c r="CN19" s="144"/>
      <c r="CO19" s="146">
        <f t="shared" si="20"/>
        <v>0</v>
      </c>
      <c r="CP19" s="144"/>
      <c r="CQ19" s="146">
        <f t="shared" si="21"/>
        <v>0</v>
      </c>
      <c r="CR19" s="144">
        <f t="shared" si="34"/>
        <v>0</v>
      </c>
      <c r="CS19" s="146">
        <f t="shared" si="22"/>
        <v>0</v>
      </c>
      <c r="CT19" s="166"/>
      <c r="CV19" s="768"/>
      <c r="CW19" s="770"/>
      <c r="CX19" s="138"/>
      <c r="CY19" s="139"/>
      <c r="CZ19" s="139">
        <f t="shared" si="4"/>
        <v>0</v>
      </c>
      <c r="DA19" s="144"/>
      <c r="DB19" s="146">
        <f t="shared" si="23"/>
        <v>0</v>
      </c>
      <c r="DC19" s="144"/>
      <c r="DD19" s="146">
        <f t="shared" si="24"/>
        <v>0</v>
      </c>
      <c r="DE19" s="144"/>
      <c r="DF19" s="146">
        <f t="shared" si="25"/>
        <v>0</v>
      </c>
      <c r="DG19" s="144">
        <f t="shared" si="35"/>
        <v>0</v>
      </c>
      <c r="DH19" s="146">
        <f t="shared" si="26"/>
        <v>0</v>
      </c>
      <c r="DI19" s="166" t="s">
        <v>326</v>
      </c>
      <c r="DK19" s="768"/>
      <c r="DL19" s="770"/>
      <c r="DM19" s="138"/>
      <c r="DN19" s="139"/>
      <c r="DO19" s="139">
        <f t="shared" si="5"/>
        <v>0</v>
      </c>
      <c r="DP19" s="144"/>
      <c r="DQ19" s="146">
        <f t="shared" si="27"/>
        <v>0</v>
      </c>
      <c r="DR19" s="144"/>
      <c r="DS19" s="146">
        <f t="shared" si="28"/>
        <v>0</v>
      </c>
      <c r="DT19" s="144"/>
      <c r="DU19" s="146">
        <f t="shared" si="29"/>
        <v>0</v>
      </c>
      <c r="DV19" s="144">
        <f t="shared" si="36"/>
        <v>0</v>
      </c>
      <c r="DW19" s="146">
        <f t="shared" si="30"/>
        <v>0</v>
      </c>
      <c r="DX19" s="166"/>
    </row>
    <row r="20" spans="2:128">
      <c r="B20" s="661"/>
      <c r="C20" s="88">
        <f>+DQ47</f>
        <v>0</v>
      </c>
      <c r="D20" s="88">
        <f>+DS47</f>
        <v>0</v>
      </c>
      <c r="E20" s="88">
        <f>+DU47</f>
        <v>0</v>
      </c>
      <c r="F20" s="88">
        <f>+DW47</f>
        <v>0</v>
      </c>
      <c r="G20" s="88"/>
      <c r="H20" s="10"/>
      <c r="J20" s="767"/>
      <c r="K20" s="769"/>
      <c r="L20" s="136"/>
      <c r="M20" s="136"/>
      <c r="N20" s="136">
        <f t="shared" si="49"/>
        <v>0</v>
      </c>
      <c r="O20" s="143"/>
      <c r="P20" s="145">
        <f t="shared" si="50"/>
        <v>0</v>
      </c>
      <c r="Q20" s="143"/>
      <c r="R20" s="145">
        <f t="shared" si="51"/>
        <v>0</v>
      </c>
      <c r="S20" s="143"/>
      <c r="T20" s="145">
        <f t="shared" si="52"/>
        <v>0</v>
      </c>
      <c r="U20" s="143">
        <f t="shared" si="53"/>
        <v>0</v>
      </c>
      <c r="V20" s="145">
        <f t="shared" si="54"/>
        <v>0</v>
      </c>
      <c r="W20" s="165"/>
      <c r="Y20" s="771"/>
      <c r="Z20" s="769"/>
      <c r="AA20" s="136"/>
      <c r="AB20" s="136"/>
      <c r="AC20" s="136">
        <f t="shared" si="1"/>
        <v>0</v>
      </c>
      <c r="AD20" s="143"/>
      <c r="AE20" s="145">
        <f t="shared" si="6"/>
        <v>0</v>
      </c>
      <c r="AF20" s="143"/>
      <c r="AG20" s="145">
        <f t="shared" si="7"/>
        <v>0</v>
      </c>
      <c r="AH20" s="143"/>
      <c r="AI20" s="145">
        <f t="shared" si="8"/>
        <v>0</v>
      </c>
      <c r="AJ20" s="143">
        <f t="shared" si="31"/>
        <v>0</v>
      </c>
      <c r="AK20" s="145">
        <f t="shared" si="9"/>
        <v>0</v>
      </c>
      <c r="AL20" s="162"/>
      <c r="AN20" s="767"/>
      <c r="AO20" s="769"/>
      <c r="AP20" s="136"/>
      <c r="AQ20" s="136"/>
      <c r="AR20" s="136">
        <f t="shared" si="37"/>
        <v>0</v>
      </c>
      <c r="AS20" s="143"/>
      <c r="AT20" s="145">
        <f t="shared" si="38"/>
        <v>0</v>
      </c>
      <c r="AU20" s="143"/>
      <c r="AV20" s="145">
        <f t="shared" si="39"/>
        <v>0</v>
      </c>
      <c r="AW20" s="143"/>
      <c r="AX20" s="145">
        <f t="shared" si="40"/>
        <v>0</v>
      </c>
      <c r="AY20" s="143">
        <f t="shared" si="41"/>
        <v>0</v>
      </c>
      <c r="AZ20" s="145">
        <f t="shared" si="42"/>
        <v>0</v>
      </c>
      <c r="BA20" s="165"/>
      <c r="BC20" s="767"/>
      <c r="BD20" s="769"/>
      <c r="BE20" s="136"/>
      <c r="BF20" s="136"/>
      <c r="BG20" s="136">
        <f t="shared" si="48"/>
        <v>0</v>
      </c>
      <c r="BH20" s="143"/>
      <c r="BI20" s="145">
        <f t="shared" si="43"/>
        <v>0</v>
      </c>
      <c r="BJ20" s="143"/>
      <c r="BK20" s="145">
        <f t="shared" si="44"/>
        <v>0</v>
      </c>
      <c r="BL20" s="143"/>
      <c r="BM20" s="145">
        <f t="shared" si="45"/>
        <v>0</v>
      </c>
      <c r="BN20" s="143">
        <f t="shared" si="46"/>
        <v>0</v>
      </c>
      <c r="BO20" s="145">
        <f t="shared" si="47"/>
        <v>0</v>
      </c>
      <c r="BP20" s="165"/>
      <c r="BR20" s="767"/>
      <c r="BS20" s="769"/>
      <c r="BT20" s="136"/>
      <c r="BU20" s="136"/>
      <c r="BV20" s="136">
        <f t="shared" si="14"/>
        <v>0</v>
      </c>
      <c r="BW20" s="143"/>
      <c r="BX20" s="145">
        <f t="shared" si="15"/>
        <v>0</v>
      </c>
      <c r="BY20" s="143"/>
      <c r="BZ20" s="145">
        <f t="shared" si="16"/>
        <v>0</v>
      </c>
      <c r="CA20" s="143"/>
      <c r="CB20" s="145">
        <f t="shared" si="17"/>
        <v>0</v>
      </c>
      <c r="CC20" s="143">
        <f t="shared" si="33"/>
        <v>0</v>
      </c>
      <c r="CD20" s="145">
        <f t="shared" si="18"/>
        <v>0</v>
      </c>
      <c r="CE20" s="165"/>
      <c r="CG20" s="767"/>
      <c r="CH20" s="769"/>
      <c r="CI20" s="136"/>
      <c r="CJ20" s="136"/>
      <c r="CK20" s="136">
        <f t="shared" si="3"/>
        <v>0</v>
      </c>
      <c r="CL20" s="143"/>
      <c r="CM20" s="145">
        <f t="shared" si="19"/>
        <v>0</v>
      </c>
      <c r="CN20" s="143"/>
      <c r="CO20" s="145">
        <f t="shared" si="20"/>
        <v>0</v>
      </c>
      <c r="CP20" s="143"/>
      <c r="CQ20" s="145">
        <f t="shared" si="21"/>
        <v>0</v>
      </c>
      <c r="CR20" s="143">
        <f t="shared" si="34"/>
        <v>0</v>
      </c>
      <c r="CS20" s="145">
        <f t="shared" si="22"/>
        <v>0</v>
      </c>
      <c r="CT20" s="165"/>
      <c r="CV20" s="771"/>
      <c r="CW20" s="769"/>
      <c r="CX20" s="136"/>
      <c r="CY20" s="136"/>
      <c r="CZ20" s="136">
        <f t="shared" si="4"/>
        <v>0</v>
      </c>
      <c r="DA20" s="143"/>
      <c r="DB20" s="145">
        <f t="shared" si="23"/>
        <v>0</v>
      </c>
      <c r="DC20" s="143"/>
      <c r="DD20" s="145">
        <f t="shared" si="24"/>
        <v>0</v>
      </c>
      <c r="DE20" s="143"/>
      <c r="DF20" s="145">
        <f t="shared" si="25"/>
        <v>0</v>
      </c>
      <c r="DG20" s="143">
        <f t="shared" si="35"/>
        <v>0</v>
      </c>
      <c r="DH20" s="145">
        <f t="shared" si="26"/>
        <v>0</v>
      </c>
      <c r="DI20" s="165"/>
      <c r="DK20" s="767"/>
      <c r="DL20" s="769"/>
      <c r="DM20" s="136"/>
      <c r="DN20" s="136"/>
      <c r="DO20" s="136">
        <f t="shared" si="5"/>
        <v>0</v>
      </c>
      <c r="DP20" s="143"/>
      <c r="DQ20" s="145">
        <f t="shared" si="27"/>
        <v>0</v>
      </c>
      <c r="DR20" s="143"/>
      <c r="DS20" s="145">
        <f t="shared" si="28"/>
        <v>0</v>
      </c>
      <c r="DT20" s="143"/>
      <c r="DU20" s="145">
        <f t="shared" si="29"/>
        <v>0</v>
      </c>
      <c r="DV20" s="143">
        <f t="shared" si="36"/>
        <v>0</v>
      </c>
      <c r="DW20" s="145">
        <f t="shared" si="30"/>
        <v>0</v>
      </c>
      <c r="DX20" s="165"/>
    </row>
    <row r="21" spans="2:128">
      <c r="B21" s="662"/>
      <c r="C21" s="87">
        <f>+DQ48</f>
        <v>0</v>
      </c>
      <c r="D21" s="87">
        <f>+DS48</f>
        <v>0</v>
      </c>
      <c r="E21" s="87">
        <f>+DU48</f>
        <v>0</v>
      </c>
      <c r="F21" s="87">
        <f>+DW48</f>
        <v>0</v>
      </c>
      <c r="G21" s="87"/>
      <c r="H21" s="12"/>
      <c r="J21" s="768"/>
      <c r="K21" s="770"/>
      <c r="L21" s="138"/>
      <c r="M21" s="139"/>
      <c r="N21" s="139">
        <f t="shared" si="49"/>
        <v>0</v>
      </c>
      <c r="O21" s="144"/>
      <c r="P21" s="146">
        <f t="shared" si="50"/>
        <v>0</v>
      </c>
      <c r="Q21" s="144"/>
      <c r="R21" s="146">
        <f t="shared" si="51"/>
        <v>0</v>
      </c>
      <c r="S21" s="144"/>
      <c r="T21" s="146">
        <f t="shared" si="52"/>
        <v>0</v>
      </c>
      <c r="U21" s="144">
        <f t="shared" si="53"/>
        <v>0</v>
      </c>
      <c r="V21" s="146">
        <f t="shared" si="54"/>
        <v>0</v>
      </c>
      <c r="W21" s="166"/>
      <c r="Y21" s="768"/>
      <c r="Z21" s="770"/>
      <c r="AA21" s="138"/>
      <c r="AB21" s="139"/>
      <c r="AC21" s="139">
        <f t="shared" si="1"/>
        <v>0</v>
      </c>
      <c r="AD21" s="144"/>
      <c r="AE21" s="146">
        <f t="shared" si="6"/>
        <v>0</v>
      </c>
      <c r="AF21" s="144"/>
      <c r="AG21" s="146">
        <f t="shared" si="7"/>
        <v>0</v>
      </c>
      <c r="AH21" s="144"/>
      <c r="AI21" s="146">
        <f t="shared" si="8"/>
        <v>0</v>
      </c>
      <c r="AJ21" s="144">
        <f t="shared" si="31"/>
        <v>0</v>
      </c>
      <c r="AK21" s="146">
        <f t="shared" si="9"/>
        <v>0</v>
      </c>
      <c r="AL21" s="166"/>
      <c r="AN21" s="768"/>
      <c r="AO21" s="770"/>
      <c r="AP21" s="138"/>
      <c r="AQ21" s="139"/>
      <c r="AR21" s="139">
        <f t="shared" si="37"/>
        <v>0</v>
      </c>
      <c r="AS21" s="144"/>
      <c r="AT21" s="146">
        <f t="shared" si="38"/>
        <v>0</v>
      </c>
      <c r="AU21" s="144"/>
      <c r="AV21" s="146">
        <f t="shared" si="39"/>
        <v>0</v>
      </c>
      <c r="AW21" s="144"/>
      <c r="AX21" s="146">
        <f t="shared" si="40"/>
        <v>0</v>
      </c>
      <c r="AY21" s="144">
        <f t="shared" si="41"/>
        <v>0</v>
      </c>
      <c r="AZ21" s="146">
        <f t="shared" si="42"/>
        <v>0</v>
      </c>
      <c r="BA21" s="166"/>
      <c r="BC21" s="768"/>
      <c r="BD21" s="770"/>
      <c r="BE21" s="138"/>
      <c r="BF21" s="139"/>
      <c r="BG21" s="139">
        <f t="shared" si="48"/>
        <v>0</v>
      </c>
      <c r="BH21" s="144"/>
      <c r="BI21" s="146">
        <f t="shared" si="43"/>
        <v>0</v>
      </c>
      <c r="BJ21" s="144"/>
      <c r="BK21" s="146">
        <f t="shared" si="44"/>
        <v>0</v>
      </c>
      <c r="BL21" s="144"/>
      <c r="BM21" s="146">
        <f t="shared" si="45"/>
        <v>0</v>
      </c>
      <c r="BN21" s="144">
        <f t="shared" si="46"/>
        <v>0</v>
      </c>
      <c r="BO21" s="146">
        <f t="shared" si="47"/>
        <v>0</v>
      </c>
      <c r="BP21" s="166"/>
      <c r="BR21" s="768"/>
      <c r="BS21" s="770"/>
      <c r="BT21" s="138"/>
      <c r="BU21" s="139"/>
      <c r="BV21" s="139">
        <f t="shared" si="14"/>
        <v>0</v>
      </c>
      <c r="BW21" s="144"/>
      <c r="BX21" s="146">
        <f t="shared" si="15"/>
        <v>0</v>
      </c>
      <c r="BY21" s="144"/>
      <c r="BZ21" s="146">
        <f t="shared" si="16"/>
        <v>0</v>
      </c>
      <c r="CA21" s="144"/>
      <c r="CB21" s="146">
        <f t="shared" si="17"/>
        <v>0</v>
      </c>
      <c r="CC21" s="144">
        <f t="shared" si="33"/>
        <v>0</v>
      </c>
      <c r="CD21" s="146">
        <f t="shared" si="18"/>
        <v>0</v>
      </c>
      <c r="CE21" s="166"/>
      <c r="CG21" s="768"/>
      <c r="CH21" s="770"/>
      <c r="CI21" s="138"/>
      <c r="CJ21" s="139"/>
      <c r="CK21" s="139">
        <f t="shared" si="3"/>
        <v>0</v>
      </c>
      <c r="CL21" s="144"/>
      <c r="CM21" s="146">
        <f t="shared" si="19"/>
        <v>0</v>
      </c>
      <c r="CN21" s="144"/>
      <c r="CO21" s="146">
        <f t="shared" si="20"/>
        <v>0</v>
      </c>
      <c r="CP21" s="144"/>
      <c r="CQ21" s="146">
        <f t="shared" si="21"/>
        <v>0</v>
      </c>
      <c r="CR21" s="144">
        <f t="shared" si="34"/>
        <v>0</v>
      </c>
      <c r="CS21" s="146">
        <f t="shared" si="22"/>
        <v>0</v>
      </c>
      <c r="CT21" s="166"/>
      <c r="CV21" s="768"/>
      <c r="CW21" s="770"/>
      <c r="CX21" s="138"/>
      <c r="CY21" s="139"/>
      <c r="CZ21" s="139">
        <f t="shared" si="4"/>
        <v>0</v>
      </c>
      <c r="DA21" s="144"/>
      <c r="DB21" s="146">
        <f t="shared" si="23"/>
        <v>0</v>
      </c>
      <c r="DC21" s="144"/>
      <c r="DD21" s="146">
        <f t="shared" si="24"/>
        <v>0</v>
      </c>
      <c r="DE21" s="144"/>
      <c r="DF21" s="146">
        <f t="shared" si="25"/>
        <v>0</v>
      </c>
      <c r="DG21" s="144">
        <f t="shared" si="35"/>
        <v>0</v>
      </c>
      <c r="DH21" s="146">
        <f t="shared" si="26"/>
        <v>0</v>
      </c>
      <c r="DI21" s="166"/>
      <c r="DK21" s="768"/>
      <c r="DL21" s="770"/>
      <c r="DM21" s="138"/>
      <c r="DN21" s="139"/>
      <c r="DO21" s="139">
        <f t="shared" si="5"/>
        <v>0</v>
      </c>
      <c r="DP21" s="144"/>
      <c r="DQ21" s="146">
        <f t="shared" si="27"/>
        <v>0</v>
      </c>
      <c r="DR21" s="144"/>
      <c r="DS21" s="146">
        <f t="shared" si="28"/>
        <v>0</v>
      </c>
      <c r="DT21" s="144"/>
      <c r="DU21" s="146">
        <f t="shared" si="29"/>
        <v>0</v>
      </c>
      <c r="DV21" s="144">
        <f t="shared" si="36"/>
        <v>0</v>
      </c>
      <c r="DW21" s="146">
        <f t="shared" si="30"/>
        <v>0</v>
      </c>
      <c r="DX21" s="166"/>
    </row>
    <row r="22" spans="2:128">
      <c r="B22" s="661"/>
      <c r="C22" s="88"/>
      <c r="D22" s="88"/>
      <c r="E22" s="88"/>
      <c r="F22" s="88"/>
      <c r="G22" s="88"/>
      <c r="H22" s="10"/>
      <c r="J22" s="767"/>
      <c r="K22" s="769"/>
      <c r="L22" s="136"/>
      <c r="M22" s="136"/>
      <c r="N22" s="136">
        <f t="shared" si="49"/>
        <v>0</v>
      </c>
      <c r="O22" s="143"/>
      <c r="P22" s="145">
        <f t="shared" si="50"/>
        <v>0</v>
      </c>
      <c r="Q22" s="143"/>
      <c r="R22" s="145">
        <f t="shared" si="51"/>
        <v>0</v>
      </c>
      <c r="S22" s="143"/>
      <c r="T22" s="145">
        <f t="shared" si="52"/>
        <v>0</v>
      </c>
      <c r="U22" s="143">
        <f t="shared" si="53"/>
        <v>0</v>
      </c>
      <c r="V22" s="145">
        <f t="shared" si="54"/>
        <v>0</v>
      </c>
      <c r="W22" s="165"/>
      <c r="Y22" s="771"/>
      <c r="Z22" s="769"/>
      <c r="AA22" s="136"/>
      <c r="AB22" s="136"/>
      <c r="AC22" s="136">
        <f t="shared" si="1"/>
        <v>0</v>
      </c>
      <c r="AD22" s="143"/>
      <c r="AE22" s="145">
        <f t="shared" si="6"/>
        <v>0</v>
      </c>
      <c r="AF22" s="143"/>
      <c r="AG22" s="145">
        <f t="shared" si="7"/>
        <v>0</v>
      </c>
      <c r="AH22" s="143"/>
      <c r="AI22" s="145">
        <f t="shared" si="8"/>
        <v>0</v>
      </c>
      <c r="AJ22" s="143">
        <f t="shared" si="31"/>
        <v>0</v>
      </c>
      <c r="AK22" s="145">
        <f t="shared" si="9"/>
        <v>0</v>
      </c>
      <c r="AL22" s="162"/>
      <c r="AN22" s="767"/>
      <c r="AO22" s="769"/>
      <c r="AP22" s="136"/>
      <c r="AQ22" s="136"/>
      <c r="AR22" s="136">
        <f t="shared" si="37"/>
        <v>0</v>
      </c>
      <c r="AS22" s="143"/>
      <c r="AT22" s="145">
        <f t="shared" si="38"/>
        <v>0</v>
      </c>
      <c r="AU22" s="143"/>
      <c r="AV22" s="145">
        <f t="shared" si="39"/>
        <v>0</v>
      </c>
      <c r="AW22" s="143"/>
      <c r="AX22" s="145">
        <f t="shared" si="40"/>
        <v>0</v>
      </c>
      <c r="AY22" s="143">
        <f t="shared" si="41"/>
        <v>0</v>
      </c>
      <c r="AZ22" s="145">
        <f t="shared" si="42"/>
        <v>0</v>
      </c>
      <c r="BA22" s="165"/>
      <c r="BC22" s="767"/>
      <c r="BD22" s="769"/>
      <c r="BE22" s="136"/>
      <c r="BF22" s="136"/>
      <c r="BG22" s="136">
        <f t="shared" si="48"/>
        <v>0</v>
      </c>
      <c r="BH22" s="143"/>
      <c r="BI22" s="145">
        <f t="shared" si="43"/>
        <v>0</v>
      </c>
      <c r="BJ22" s="143"/>
      <c r="BK22" s="145">
        <f t="shared" si="44"/>
        <v>0</v>
      </c>
      <c r="BL22" s="143"/>
      <c r="BM22" s="145">
        <f t="shared" si="45"/>
        <v>0</v>
      </c>
      <c r="BN22" s="143">
        <f t="shared" si="46"/>
        <v>0</v>
      </c>
      <c r="BO22" s="145">
        <f t="shared" si="47"/>
        <v>0</v>
      </c>
      <c r="BP22" s="165"/>
      <c r="BR22" s="767"/>
      <c r="BS22" s="769"/>
      <c r="BT22" s="136"/>
      <c r="BU22" s="136"/>
      <c r="BV22" s="136">
        <f t="shared" si="14"/>
        <v>0</v>
      </c>
      <c r="BW22" s="143"/>
      <c r="BX22" s="145">
        <f t="shared" si="15"/>
        <v>0</v>
      </c>
      <c r="BY22" s="143"/>
      <c r="BZ22" s="145">
        <f t="shared" si="16"/>
        <v>0</v>
      </c>
      <c r="CA22" s="143"/>
      <c r="CB22" s="145">
        <f t="shared" si="17"/>
        <v>0</v>
      </c>
      <c r="CC22" s="143">
        <f t="shared" si="33"/>
        <v>0</v>
      </c>
      <c r="CD22" s="145">
        <f t="shared" si="18"/>
        <v>0</v>
      </c>
      <c r="CE22" s="165"/>
      <c r="CG22" s="767"/>
      <c r="CH22" s="769"/>
      <c r="CI22" s="136"/>
      <c r="CJ22" s="136"/>
      <c r="CK22" s="136">
        <f t="shared" si="3"/>
        <v>0</v>
      </c>
      <c r="CL22" s="143"/>
      <c r="CM22" s="145">
        <f t="shared" si="19"/>
        <v>0</v>
      </c>
      <c r="CN22" s="143"/>
      <c r="CO22" s="145">
        <f t="shared" si="20"/>
        <v>0</v>
      </c>
      <c r="CP22" s="143"/>
      <c r="CQ22" s="145">
        <f t="shared" si="21"/>
        <v>0</v>
      </c>
      <c r="CR22" s="143">
        <f t="shared" si="34"/>
        <v>0</v>
      </c>
      <c r="CS22" s="145">
        <f t="shared" si="22"/>
        <v>0</v>
      </c>
      <c r="CT22" s="165"/>
      <c r="CV22" s="771"/>
      <c r="CW22" s="769"/>
      <c r="CX22" s="136"/>
      <c r="CY22" s="136"/>
      <c r="CZ22" s="136">
        <f t="shared" si="4"/>
        <v>0</v>
      </c>
      <c r="DA22" s="143"/>
      <c r="DB22" s="145">
        <f t="shared" si="23"/>
        <v>0</v>
      </c>
      <c r="DC22" s="143"/>
      <c r="DD22" s="145">
        <f t="shared" si="24"/>
        <v>0</v>
      </c>
      <c r="DE22" s="143"/>
      <c r="DF22" s="145">
        <f t="shared" si="25"/>
        <v>0</v>
      </c>
      <c r="DG22" s="143">
        <f t="shared" si="35"/>
        <v>0</v>
      </c>
      <c r="DH22" s="145">
        <f t="shared" si="26"/>
        <v>0</v>
      </c>
      <c r="DI22" s="165"/>
      <c r="DK22" s="767"/>
      <c r="DL22" s="769"/>
      <c r="DM22" s="136"/>
      <c r="DN22" s="136"/>
      <c r="DO22" s="136">
        <f t="shared" si="5"/>
        <v>0</v>
      </c>
      <c r="DP22" s="143"/>
      <c r="DQ22" s="145">
        <f t="shared" si="27"/>
        <v>0</v>
      </c>
      <c r="DR22" s="143"/>
      <c r="DS22" s="145">
        <f t="shared" si="28"/>
        <v>0</v>
      </c>
      <c r="DT22" s="143"/>
      <c r="DU22" s="145">
        <f t="shared" si="29"/>
        <v>0</v>
      </c>
      <c r="DV22" s="143">
        <f t="shared" si="36"/>
        <v>0</v>
      </c>
      <c r="DW22" s="145">
        <f t="shared" si="30"/>
        <v>0</v>
      </c>
      <c r="DX22" s="165"/>
    </row>
    <row r="23" spans="2:128">
      <c r="B23" s="662"/>
      <c r="C23" s="87"/>
      <c r="D23" s="87"/>
      <c r="E23" s="87"/>
      <c r="F23" s="87"/>
      <c r="G23" s="87"/>
      <c r="H23" s="12"/>
      <c r="J23" s="768"/>
      <c r="K23" s="770"/>
      <c r="L23" s="138"/>
      <c r="M23" s="139"/>
      <c r="N23" s="139">
        <f t="shared" si="49"/>
        <v>0</v>
      </c>
      <c r="O23" s="144"/>
      <c r="P23" s="146">
        <f t="shared" si="50"/>
        <v>0</v>
      </c>
      <c r="Q23" s="144"/>
      <c r="R23" s="146">
        <f t="shared" si="51"/>
        <v>0</v>
      </c>
      <c r="S23" s="144"/>
      <c r="T23" s="146">
        <f t="shared" si="52"/>
        <v>0</v>
      </c>
      <c r="U23" s="144">
        <f t="shared" si="53"/>
        <v>0</v>
      </c>
      <c r="V23" s="146">
        <f t="shared" si="54"/>
        <v>0</v>
      </c>
      <c r="W23" s="166"/>
      <c r="Y23" s="768"/>
      <c r="Z23" s="770"/>
      <c r="AA23" s="138"/>
      <c r="AB23" s="139"/>
      <c r="AC23" s="139">
        <f t="shared" si="1"/>
        <v>0</v>
      </c>
      <c r="AD23" s="144"/>
      <c r="AE23" s="146">
        <f t="shared" si="6"/>
        <v>0</v>
      </c>
      <c r="AF23" s="144"/>
      <c r="AG23" s="146">
        <f t="shared" si="7"/>
        <v>0</v>
      </c>
      <c r="AH23" s="144"/>
      <c r="AI23" s="146">
        <f t="shared" si="8"/>
        <v>0</v>
      </c>
      <c r="AJ23" s="144">
        <f t="shared" si="31"/>
        <v>0</v>
      </c>
      <c r="AK23" s="146">
        <f t="shared" si="9"/>
        <v>0</v>
      </c>
      <c r="AL23" s="166"/>
      <c r="AN23" s="768"/>
      <c r="AO23" s="770"/>
      <c r="AP23" s="138"/>
      <c r="AQ23" s="139"/>
      <c r="AR23" s="139">
        <f t="shared" si="37"/>
        <v>0</v>
      </c>
      <c r="AS23" s="144"/>
      <c r="AT23" s="146">
        <f t="shared" si="38"/>
        <v>0</v>
      </c>
      <c r="AU23" s="144"/>
      <c r="AV23" s="146">
        <f t="shared" si="39"/>
        <v>0</v>
      </c>
      <c r="AW23" s="144"/>
      <c r="AX23" s="146">
        <f t="shared" si="40"/>
        <v>0</v>
      </c>
      <c r="AY23" s="144">
        <f t="shared" si="41"/>
        <v>0</v>
      </c>
      <c r="AZ23" s="146">
        <f t="shared" si="42"/>
        <v>0</v>
      </c>
      <c r="BA23" s="166"/>
      <c r="BC23" s="768"/>
      <c r="BD23" s="770"/>
      <c r="BE23" s="138"/>
      <c r="BF23" s="139"/>
      <c r="BG23" s="139">
        <f t="shared" si="48"/>
        <v>0</v>
      </c>
      <c r="BH23" s="144"/>
      <c r="BI23" s="146">
        <f t="shared" si="43"/>
        <v>0</v>
      </c>
      <c r="BJ23" s="144"/>
      <c r="BK23" s="146">
        <f t="shared" si="44"/>
        <v>0</v>
      </c>
      <c r="BL23" s="144"/>
      <c r="BM23" s="146">
        <f t="shared" si="45"/>
        <v>0</v>
      </c>
      <c r="BN23" s="144">
        <f t="shared" si="46"/>
        <v>0</v>
      </c>
      <c r="BO23" s="146">
        <f t="shared" si="47"/>
        <v>0</v>
      </c>
      <c r="BP23" s="166"/>
      <c r="BR23" s="768"/>
      <c r="BS23" s="770"/>
      <c r="BT23" s="138"/>
      <c r="BU23" s="139"/>
      <c r="BV23" s="139">
        <f t="shared" si="14"/>
        <v>0</v>
      </c>
      <c r="BW23" s="144"/>
      <c r="BX23" s="146">
        <f t="shared" si="15"/>
        <v>0</v>
      </c>
      <c r="BY23" s="144"/>
      <c r="BZ23" s="146">
        <f t="shared" si="16"/>
        <v>0</v>
      </c>
      <c r="CA23" s="144"/>
      <c r="CB23" s="146">
        <f t="shared" si="17"/>
        <v>0</v>
      </c>
      <c r="CC23" s="144">
        <f t="shared" si="33"/>
        <v>0</v>
      </c>
      <c r="CD23" s="146">
        <f t="shared" si="18"/>
        <v>0</v>
      </c>
      <c r="CE23" s="166"/>
      <c r="CG23" s="768"/>
      <c r="CH23" s="770"/>
      <c r="CI23" s="138"/>
      <c r="CJ23" s="139"/>
      <c r="CK23" s="139">
        <f t="shared" si="3"/>
        <v>0</v>
      </c>
      <c r="CL23" s="144"/>
      <c r="CM23" s="146">
        <f t="shared" si="19"/>
        <v>0</v>
      </c>
      <c r="CN23" s="144"/>
      <c r="CO23" s="146">
        <f t="shared" si="20"/>
        <v>0</v>
      </c>
      <c r="CP23" s="144"/>
      <c r="CQ23" s="146">
        <f t="shared" si="21"/>
        <v>0</v>
      </c>
      <c r="CR23" s="144">
        <f t="shared" si="34"/>
        <v>0</v>
      </c>
      <c r="CS23" s="146">
        <f t="shared" si="22"/>
        <v>0</v>
      </c>
      <c r="CT23" s="166"/>
      <c r="CV23" s="768"/>
      <c r="CW23" s="770"/>
      <c r="CX23" s="138"/>
      <c r="CY23" s="139"/>
      <c r="CZ23" s="139">
        <f t="shared" si="4"/>
        <v>0</v>
      </c>
      <c r="DA23" s="144"/>
      <c r="DB23" s="146">
        <f t="shared" si="23"/>
        <v>0</v>
      </c>
      <c r="DC23" s="144"/>
      <c r="DD23" s="146">
        <f t="shared" si="24"/>
        <v>0</v>
      </c>
      <c r="DE23" s="144"/>
      <c r="DF23" s="146">
        <f t="shared" si="25"/>
        <v>0</v>
      </c>
      <c r="DG23" s="144">
        <f t="shared" si="35"/>
        <v>0</v>
      </c>
      <c r="DH23" s="146">
        <f t="shared" si="26"/>
        <v>0</v>
      </c>
      <c r="DI23" s="166"/>
      <c r="DK23" s="768"/>
      <c r="DL23" s="770"/>
      <c r="DM23" s="138"/>
      <c r="DN23" s="139"/>
      <c r="DO23" s="139">
        <f t="shared" si="5"/>
        <v>0</v>
      </c>
      <c r="DP23" s="144"/>
      <c r="DQ23" s="146">
        <f t="shared" si="27"/>
        <v>0</v>
      </c>
      <c r="DR23" s="144"/>
      <c r="DS23" s="146">
        <f t="shared" si="28"/>
        <v>0</v>
      </c>
      <c r="DT23" s="144"/>
      <c r="DU23" s="146">
        <f t="shared" si="29"/>
        <v>0</v>
      </c>
      <c r="DV23" s="144">
        <f t="shared" si="36"/>
        <v>0</v>
      </c>
      <c r="DW23" s="146">
        <f t="shared" si="30"/>
        <v>0</v>
      </c>
      <c r="DX23" s="166"/>
    </row>
    <row r="24" spans="2:128">
      <c r="B24" s="661"/>
      <c r="C24" s="88"/>
      <c r="D24" s="88"/>
      <c r="E24" s="88"/>
      <c r="F24" s="88"/>
      <c r="G24" s="88"/>
      <c r="H24" s="10"/>
      <c r="J24" s="767"/>
      <c r="K24" s="769"/>
      <c r="L24" s="136"/>
      <c r="M24" s="136"/>
      <c r="N24" s="136">
        <f t="shared" si="49"/>
        <v>0</v>
      </c>
      <c r="O24" s="143"/>
      <c r="P24" s="145">
        <f t="shared" si="50"/>
        <v>0</v>
      </c>
      <c r="Q24" s="143"/>
      <c r="R24" s="145">
        <f t="shared" si="51"/>
        <v>0</v>
      </c>
      <c r="S24" s="143"/>
      <c r="T24" s="145">
        <f t="shared" si="52"/>
        <v>0</v>
      </c>
      <c r="U24" s="143">
        <f t="shared" si="53"/>
        <v>0</v>
      </c>
      <c r="V24" s="145">
        <f t="shared" si="54"/>
        <v>0</v>
      </c>
      <c r="W24" s="165"/>
      <c r="Y24" s="767"/>
      <c r="Z24" s="769"/>
      <c r="AA24" s="136"/>
      <c r="AB24" s="136"/>
      <c r="AC24" s="136">
        <f t="shared" si="1"/>
        <v>0</v>
      </c>
      <c r="AD24" s="143"/>
      <c r="AE24" s="145">
        <f t="shared" si="6"/>
        <v>0</v>
      </c>
      <c r="AF24" s="143"/>
      <c r="AG24" s="145">
        <f t="shared" si="7"/>
        <v>0</v>
      </c>
      <c r="AH24" s="143"/>
      <c r="AI24" s="145">
        <f t="shared" si="8"/>
        <v>0</v>
      </c>
      <c r="AJ24" s="143">
        <f t="shared" si="31"/>
        <v>0</v>
      </c>
      <c r="AK24" s="145">
        <f t="shared" si="9"/>
        <v>0</v>
      </c>
      <c r="AL24" s="165"/>
      <c r="AN24" s="767"/>
      <c r="AO24" s="769"/>
      <c r="AP24" s="136"/>
      <c r="AQ24" s="136"/>
      <c r="AR24" s="136">
        <f t="shared" si="37"/>
        <v>0</v>
      </c>
      <c r="AS24" s="143"/>
      <c r="AT24" s="145">
        <f t="shared" si="38"/>
        <v>0</v>
      </c>
      <c r="AU24" s="143"/>
      <c r="AV24" s="145">
        <f t="shared" si="39"/>
        <v>0</v>
      </c>
      <c r="AW24" s="143"/>
      <c r="AX24" s="145">
        <f t="shared" si="40"/>
        <v>0</v>
      </c>
      <c r="AY24" s="143">
        <f t="shared" si="41"/>
        <v>0</v>
      </c>
      <c r="AZ24" s="145">
        <f t="shared" si="42"/>
        <v>0</v>
      </c>
      <c r="BA24" s="165"/>
      <c r="BC24" s="767"/>
      <c r="BD24" s="769"/>
      <c r="BE24" s="136"/>
      <c r="BF24" s="136"/>
      <c r="BG24" s="136">
        <f t="shared" si="48"/>
        <v>0</v>
      </c>
      <c r="BH24" s="143"/>
      <c r="BI24" s="145">
        <f t="shared" si="43"/>
        <v>0</v>
      </c>
      <c r="BJ24" s="143"/>
      <c r="BK24" s="145">
        <f t="shared" si="44"/>
        <v>0</v>
      </c>
      <c r="BL24" s="143"/>
      <c r="BM24" s="145">
        <f t="shared" si="45"/>
        <v>0</v>
      </c>
      <c r="BN24" s="143">
        <f t="shared" si="46"/>
        <v>0</v>
      </c>
      <c r="BO24" s="145">
        <f t="shared" si="47"/>
        <v>0</v>
      </c>
      <c r="BP24" s="165"/>
      <c r="BR24" s="767"/>
      <c r="BS24" s="769"/>
      <c r="BT24" s="136"/>
      <c r="BU24" s="136"/>
      <c r="BV24" s="136">
        <f t="shared" si="14"/>
        <v>0</v>
      </c>
      <c r="BW24" s="143"/>
      <c r="BX24" s="145">
        <f t="shared" si="15"/>
        <v>0</v>
      </c>
      <c r="BY24" s="143"/>
      <c r="BZ24" s="145">
        <f t="shared" si="16"/>
        <v>0</v>
      </c>
      <c r="CA24" s="143"/>
      <c r="CB24" s="145">
        <f t="shared" si="17"/>
        <v>0</v>
      </c>
      <c r="CC24" s="143">
        <f t="shared" si="33"/>
        <v>0</v>
      </c>
      <c r="CD24" s="145">
        <f t="shared" si="18"/>
        <v>0</v>
      </c>
      <c r="CE24" s="165"/>
      <c r="CG24" s="767"/>
      <c r="CH24" s="769"/>
      <c r="CI24" s="136"/>
      <c r="CJ24" s="136"/>
      <c r="CK24" s="136">
        <f t="shared" si="3"/>
        <v>0</v>
      </c>
      <c r="CL24" s="143"/>
      <c r="CM24" s="145">
        <f t="shared" si="19"/>
        <v>0</v>
      </c>
      <c r="CN24" s="143"/>
      <c r="CO24" s="145">
        <f t="shared" si="20"/>
        <v>0</v>
      </c>
      <c r="CP24" s="143"/>
      <c r="CQ24" s="145">
        <f t="shared" si="21"/>
        <v>0</v>
      </c>
      <c r="CR24" s="143">
        <f t="shared" si="34"/>
        <v>0</v>
      </c>
      <c r="CS24" s="145">
        <f t="shared" si="22"/>
        <v>0</v>
      </c>
      <c r="CT24" s="165"/>
      <c r="CV24" s="767"/>
      <c r="CW24" s="769"/>
      <c r="CX24" s="136"/>
      <c r="CY24" s="136"/>
      <c r="CZ24" s="136">
        <f t="shared" si="4"/>
        <v>0</v>
      </c>
      <c r="DA24" s="143"/>
      <c r="DB24" s="145">
        <f t="shared" si="23"/>
        <v>0</v>
      </c>
      <c r="DC24" s="143"/>
      <c r="DD24" s="145">
        <f t="shared" si="24"/>
        <v>0</v>
      </c>
      <c r="DE24" s="143"/>
      <c r="DF24" s="145">
        <f t="shared" si="25"/>
        <v>0</v>
      </c>
      <c r="DG24" s="143">
        <f t="shared" si="35"/>
        <v>0</v>
      </c>
      <c r="DH24" s="145">
        <f t="shared" si="26"/>
        <v>0</v>
      </c>
      <c r="DI24" s="165"/>
      <c r="DK24" s="767"/>
      <c r="DL24" s="769"/>
      <c r="DM24" s="136"/>
      <c r="DN24" s="136"/>
      <c r="DO24" s="136">
        <f t="shared" si="5"/>
        <v>0</v>
      </c>
      <c r="DP24" s="143"/>
      <c r="DQ24" s="145">
        <f t="shared" si="27"/>
        <v>0</v>
      </c>
      <c r="DR24" s="143"/>
      <c r="DS24" s="145">
        <f t="shared" si="28"/>
        <v>0</v>
      </c>
      <c r="DT24" s="143"/>
      <c r="DU24" s="145">
        <f t="shared" si="29"/>
        <v>0</v>
      </c>
      <c r="DV24" s="143">
        <f t="shared" si="36"/>
        <v>0</v>
      </c>
      <c r="DW24" s="145">
        <f t="shared" si="30"/>
        <v>0</v>
      </c>
      <c r="DX24" s="165"/>
    </row>
    <row r="25" spans="2:128">
      <c r="B25" s="662"/>
      <c r="C25" s="87"/>
      <c r="D25" s="87"/>
      <c r="E25" s="87"/>
      <c r="F25" s="87"/>
      <c r="G25" s="87"/>
      <c r="H25" s="12"/>
      <c r="J25" s="768"/>
      <c r="K25" s="770"/>
      <c r="L25" s="138"/>
      <c r="M25" s="139"/>
      <c r="N25" s="139">
        <f t="shared" si="49"/>
        <v>0</v>
      </c>
      <c r="O25" s="144"/>
      <c r="P25" s="146">
        <f t="shared" si="50"/>
        <v>0</v>
      </c>
      <c r="Q25" s="144"/>
      <c r="R25" s="146">
        <f t="shared" si="51"/>
        <v>0</v>
      </c>
      <c r="S25" s="144"/>
      <c r="T25" s="146">
        <f t="shared" si="52"/>
        <v>0</v>
      </c>
      <c r="U25" s="144">
        <f t="shared" si="53"/>
        <v>0</v>
      </c>
      <c r="V25" s="146">
        <f t="shared" si="54"/>
        <v>0</v>
      </c>
      <c r="W25" s="166"/>
      <c r="Y25" s="768"/>
      <c r="Z25" s="770"/>
      <c r="AA25" s="138"/>
      <c r="AB25" s="139"/>
      <c r="AC25" s="139">
        <f t="shared" si="1"/>
        <v>0</v>
      </c>
      <c r="AD25" s="144"/>
      <c r="AE25" s="146">
        <f t="shared" si="6"/>
        <v>0</v>
      </c>
      <c r="AF25" s="144"/>
      <c r="AG25" s="146">
        <f t="shared" si="7"/>
        <v>0</v>
      </c>
      <c r="AH25" s="144"/>
      <c r="AI25" s="146">
        <f t="shared" si="8"/>
        <v>0</v>
      </c>
      <c r="AJ25" s="144">
        <f t="shared" si="31"/>
        <v>0</v>
      </c>
      <c r="AK25" s="146">
        <f t="shared" si="9"/>
        <v>0</v>
      </c>
      <c r="AL25" s="166"/>
      <c r="AN25" s="768"/>
      <c r="AO25" s="770"/>
      <c r="AP25" s="138"/>
      <c r="AQ25" s="139"/>
      <c r="AR25" s="139">
        <f t="shared" si="37"/>
        <v>0</v>
      </c>
      <c r="AS25" s="144"/>
      <c r="AT25" s="146">
        <f t="shared" si="38"/>
        <v>0</v>
      </c>
      <c r="AU25" s="144"/>
      <c r="AV25" s="146">
        <f t="shared" si="39"/>
        <v>0</v>
      </c>
      <c r="AW25" s="144"/>
      <c r="AX25" s="146">
        <f t="shared" si="40"/>
        <v>0</v>
      </c>
      <c r="AY25" s="144">
        <f t="shared" si="41"/>
        <v>0</v>
      </c>
      <c r="AZ25" s="146">
        <f t="shared" si="42"/>
        <v>0</v>
      </c>
      <c r="BA25" s="166"/>
      <c r="BC25" s="768"/>
      <c r="BD25" s="770"/>
      <c r="BE25" s="138"/>
      <c r="BF25" s="139"/>
      <c r="BG25" s="139">
        <f t="shared" si="48"/>
        <v>0</v>
      </c>
      <c r="BH25" s="144"/>
      <c r="BI25" s="146">
        <f t="shared" si="43"/>
        <v>0</v>
      </c>
      <c r="BJ25" s="144"/>
      <c r="BK25" s="146">
        <f t="shared" si="44"/>
        <v>0</v>
      </c>
      <c r="BL25" s="144"/>
      <c r="BM25" s="146">
        <f t="shared" si="45"/>
        <v>0</v>
      </c>
      <c r="BN25" s="144">
        <f t="shared" si="46"/>
        <v>0</v>
      </c>
      <c r="BO25" s="146">
        <f t="shared" si="47"/>
        <v>0</v>
      </c>
      <c r="BP25" s="166"/>
      <c r="BR25" s="768"/>
      <c r="BS25" s="770"/>
      <c r="BT25" s="138"/>
      <c r="BU25" s="139"/>
      <c r="BV25" s="139">
        <f t="shared" si="14"/>
        <v>0</v>
      </c>
      <c r="BW25" s="144"/>
      <c r="BX25" s="146">
        <f t="shared" si="15"/>
        <v>0</v>
      </c>
      <c r="BY25" s="144"/>
      <c r="BZ25" s="146">
        <f t="shared" si="16"/>
        <v>0</v>
      </c>
      <c r="CA25" s="144"/>
      <c r="CB25" s="146">
        <f t="shared" si="17"/>
        <v>0</v>
      </c>
      <c r="CC25" s="144">
        <f t="shared" si="33"/>
        <v>0</v>
      </c>
      <c r="CD25" s="146">
        <f t="shared" si="18"/>
        <v>0</v>
      </c>
      <c r="CE25" s="166"/>
      <c r="CG25" s="768"/>
      <c r="CH25" s="770"/>
      <c r="CI25" s="138"/>
      <c r="CJ25" s="139"/>
      <c r="CK25" s="139">
        <f t="shared" si="3"/>
        <v>0</v>
      </c>
      <c r="CL25" s="144"/>
      <c r="CM25" s="146">
        <f t="shared" si="19"/>
        <v>0</v>
      </c>
      <c r="CN25" s="144"/>
      <c r="CO25" s="146">
        <f t="shared" si="20"/>
        <v>0</v>
      </c>
      <c r="CP25" s="144"/>
      <c r="CQ25" s="146">
        <f t="shared" si="21"/>
        <v>0</v>
      </c>
      <c r="CR25" s="144">
        <f t="shared" si="34"/>
        <v>0</v>
      </c>
      <c r="CS25" s="146">
        <f t="shared" si="22"/>
        <v>0</v>
      </c>
      <c r="CT25" s="166"/>
      <c r="CV25" s="768"/>
      <c r="CW25" s="770"/>
      <c r="CX25" s="138"/>
      <c r="CY25" s="139"/>
      <c r="CZ25" s="139">
        <f t="shared" si="4"/>
        <v>0</v>
      </c>
      <c r="DA25" s="144"/>
      <c r="DB25" s="146">
        <f t="shared" si="23"/>
        <v>0</v>
      </c>
      <c r="DC25" s="144"/>
      <c r="DD25" s="146">
        <f t="shared" si="24"/>
        <v>0</v>
      </c>
      <c r="DE25" s="144"/>
      <c r="DF25" s="146">
        <f t="shared" si="25"/>
        <v>0</v>
      </c>
      <c r="DG25" s="144">
        <f t="shared" si="35"/>
        <v>0</v>
      </c>
      <c r="DH25" s="146">
        <f t="shared" si="26"/>
        <v>0</v>
      </c>
      <c r="DI25" s="166"/>
      <c r="DK25" s="768"/>
      <c r="DL25" s="770"/>
      <c r="DM25" s="138"/>
      <c r="DN25" s="139"/>
      <c r="DO25" s="139">
        <f t="shared" si="5"/>
        <v>0</v>
      </c>
      <c r="DP25" s="144"/>
      <c r="DQ25" s="146">
        <f t="shared" si="27"/>
        <v>0</v>
      </c>
      <c r="DR25" s="144"/>
      <c r="DS25" s="146">
        <f t="shared" si="28"/>
        <v>0</v>
      </c>
      <c r="DT25" s="144"/>
      <c r="DU25" s="146">
        <f t="shared" si="29"/>
        <v>0</v>
      </c>
      <c r="DV25" s="144">
        <f t="shared" si="36"/>
        <v>0</v>
      </c>
      <c r="DW25" s="146">
        <f t="shared" si="30"/>
        <v>0</v>
      </c>
      <c r="DX25" s="166"/>
    </row>
    <row r="26" spans="2:128">
      <c r="B26" s="661"/>
      <c r="C26" s="88"/>
      <c r="D26" s="88"/>
      <c r="E26" s="88"/>
      <c r="F26" s="88"/>
      <c r="G26" s="88"/>
      <c r="H26" s="10"/>
      <c r="J26" s="767"/>
      <c r="K26" s="769"/>
      <c r="L26" s="136"/>
      <c r="M26" s="136"/>
      <c r="N26" s="136">
        <f t="shared" si="49"/>
        <v>0</v>
      </c>
      <c r="O26" s="143"/>
      <c r="P26" s="145">
        <f t="shared" si="50"/>
        <v>0</v>
      </c>
      <c r="Q26" s="143"/>
      <c r="R26" s="145">
        <f t="shared" si="51"/>
        <v>0</v>
      </c>
      <c r="S26" s="143"/>
      <c r="T26" s="145">
        <f t="shared" si="52"/>
        <v>0</v>
      </c>
      <c r="U26" s="143">
        <f t="shared" si="53"/>
        <v>0</v>
      </c>
      <c r="V26" s="145">
        <f t="shared" si="54"/>
        <v>0</v>
      </c>
      <c r="W26" s="165"/>
      <c r="Y26" s="767"/>
      <c r="Z26" s="769"/>
      <c r="AA26" s="136"/>
      <c r="AB26" s="136"/>
      <c r="AC26" s="136">
        <f t="shared" si="1"/>
        <v>0</v>
      </c>
      <c r="AD26" s="143"/>
      <c r="AE26" s="145">
        <f t="shared" si="6"/>
        <v>0</v>
      </c>
      <c r="AF26" s="143"/>
      <c r="AG26" s="145">
        <f t="shared" si="7"/>
        <v>0</v>
      </c>
      <c r="AH26" s="143"/>
      <c r="AI26" s="145">
        <f t="shared" si="8"/>
        <v>0</v>
      </c>
      <c r="AJ26" s="143">
        <f t="shared" si="31"/>
        <v>0</v>
      </c>
      <c r="AK26" s="145">
        <f t="shared" si="9"/>
        <v>0</v>
      </c>
      <c r="AL26" s="165"/>
      <c r="AN26" s="767"/>
      <c r="AO26" s="769"/>
      <c r="AP26" s="136"/>
      <c r="AQ26" s="136"/>
      <c r="AR26" s="136">
        <f t="shared" si="37"/>
        <v>0</v>
      </c>
      <c r="AS26" s="143"/>
      <c r="AT26" s="145">
        <f t="shared" si="38"/>
        <v>0</v>
      </c>
      <c r="AU26" s="143"/>
      <c r="AV26" s="145">
        <f t="shared" si="39"/>
        <v>0</v>
      </c>
      <c r="AW26" s="143"/>
      <c r="AX26" s="145">
        <f t="shared" si="40"/>
        <v>0</v>
      </c>
      <c r="AY26" s="143">
        <f t="shared" si="41"/>
        <v>0</v>
      </c>
      <c r="AZ26" s="145">
        <f t="shared" si="42"/>
        <v>0</v>
      </c>
      <c r="BA26" s="165"/>
      <c r="BC26" s="767"/>
      <c r="BD26" s="769"/>
      <c r="BE26" s="136"/>
      <c r="BF26" s="136"/>
      <c r="BG26" s="136">
        <f t="shared" si="48"/>
        <v>0</v>
      </c>
      <c r="BH26" s="143"/>
      <c r="BI26" s="145">
        <f t="shared" si="43"/>
        <v>0</v>
      </c>
      <c r="BJ26" s="143"/>
      <c r="BK26" s="145">
        <f t="shared" si="44"/>
        <v>0</v>
      </c>
      <c r="BL26" s="143"/>
      <c r="BM26" s="145">
        <f t="shared" si="45"/>
        <v>0</v>
      </c>
      <c r="BN26" s="143">
        <f t="shared" si="46"/>
        <v>0</v>
      </c>
      <c r="BO26" s="145">
        <f t="shared" si="47"/>
        <v>0</v>
      </c>
      <c r="BP26" s="165"/>
      <c r="BR26" s="767"/>
      <c r="BS26" s="769"/>
      <c r="BT26" s="136"/>
      <c r="BU26" s="136"/>
      <c r="BV26" s="136">
        <f t="shared" si="14"/>
        <v>0</v>
      </c>
      <c r="BW26" s="143"/>
      <c r="BX26" s="145">
        <f t="shared" si="15"/>
        <v>0</v>
      </c>
      <c r="BY26" s="143"/>
      <c r="BZ26" s="145">
        <f t="shared" si="16"/>
        <v>0</v>
      </c>
      <c r="CA26" s="143"/>
      <c r="CB26" s="145">
        <f t="shared" si="17"/>
        <v>0</v>
      </c>
      <c r="CC26" s="143">
        <f t="shared" si="33"/>
        <v>0</v>
      </c>
      <c r="CD26" s="145">
        <f t="shared" si="18"/>
        <v>0</v>
      </c>
      <c r="CE26" s="165"/>
      <c r="CG26" s="767"/>
      <c r="CH26" s="769"/>
      <c r="CI26" s="136"/>
      <c r="CJ26" s="136"/>
      <c r="CK26" s="136">
        <f t="shared" si="3"/>
        <v>0</v>
      </c>
      <c r="CL26" s="143"/>
      <c r="CM26" s="145">
        <f t="shared" si="19"/>
        <v>0</v>
      </c>
      <c r="CN26" s="143"/>
      <c r="CO26" s="145">
        <f t="shared" si="20"/>
        <v>0</v>
      </c>
      <c r="CP26" s="143"/>
      <c r="CQ26" s="145">
        <f t="shared" si="21"/>
        <v>0</v>
      </c>
      <c r="CR26" s="143">
        <f t="shared" si="34"/>
        <v>0</v>
      </c>
      <c r="CS26" s="145">
        <f t="shared" si="22"/>
        <v>0</v>
      </c>
      <c r="CT26" s="165"/>
      <c r="CV26" s="767"/>
      <c r="CW26" s="769"/>
      <c r="CX26" s="136"/>
      <c r="CY26" s="136"/>
      <c r="CZ26" s="136">
        <f t="shared" si="4"/>
        <v>0</v>
      </c>
      <c r="DA26" s="143"/>
      <c r="DB26" s="145">
        <f t="shared" si="23"/>
        <v>0</v>
      </c>
      <c r="DC26" s="143"/>
      <c r="DD26" s="145">
        <f t="shared" si="24"/>
        <v>0</v>
      </c>
      <c r="DE26" s="143"/>
      <c r="DF26" s="145">
        <f t="shared" si="25"/>
        <v>0</v>
      </c>
      <c r="DG26" s="143">
        <f t="shared" si="35"/>
        <v>0</v>
      </c>
      <c r="DH26" s="145">
        <f t="shared" si="26"/>
        <v>0</v>
      </c>
      <c r="DI26" s="165"/>
      <c r="DK26" s="767"/>
      <c r="DL26" s="769"/>
      <c r="DM26" s="136"/>
      <c r="DN26" s="136"/>
      <c r="DO26" s="136">
        <f t="shared" si="5"/>
        <v>0</v>
      </c>
      <c r="DP26" s="143"/>
      <c r="DQ26" s="145">
        <f t="shared" si="27"/>
        <v>0</v>
      </c>
      <c r="DR26" s="143"/>
      <c r="DS26" s="145">
        <f t="shared" si="28"/>
        <v>0</v>
      </c>
      <c r="DT26" s="143"/>
      <c r="DU26" s="145">
        <f t="shared" si="29"/>
        <v>0</v>
      </c>
      <c r="DV26" s="143">
        <f t="shared" si="36"/>
        <v>0</v>
      </c>
      <c r="DW26" s="145">
        <f t="shared" si="30"/>
        <v>0</v>
      </c>
      <c r="DX26" s="165"/>
    </row>
    <row r="27" spans="2:128">
      <c r="B27" s="662"/>
      <c r="C27" s="87"/>
      <c r="D27" s="87"/>
      <c r="E27" s="87"/>
      <c r="F27" s="87"/>
      <c r="G27" s="87"/>
      <c r="H27" s="12"/>
      <c r="J27" s="768"/>
      <c r="K27" s="770"/>
      <c r="L27" s="138"/>
      <c r="M27" s="139"/>
      <c r="N27" s="139">
        <f t="shared" si="49"/>
        <v>0</v>
      </c>
      <c r="O27" s="144"/>
      <c r="P27" s="146">
        <f t="shared" si="50"/>
        <v>0</v>
      </c>
      <c r="Q27" s="144"/>
      <c r="R27" s="146">
        <f t="shared" si="51"/>
        <v>0</v>
      </c>
      <c r="S27" s="144"/>
      <c r="T27" s="146">
        <f t="shared" si="52"/>
        <v>0</v>
      </c>
      <c r="U27" s="144">
        <f t="shared" si="53"/>
        <v>0</v>
      </c>
      <c r="V27" s="146">
        <f t="shared" si="54"/>
        <v>0</v>
      </c>
      <c r="W27" s="166"/>
      <c r="Y27" s="768"/>
      <c r="Z27" s="770"/>
      <c r="AA27" s="138"/>
      <c r="AB27" s="139"/>
      <c r="AC27" s="139">
        <f t="shared" si="1"/>
        <v>0</v>
      </c>
      <c r="AD27" s="144"/>
      <c r="AE27" s="146">
        <f t="shared" si="6"/>
        <v>0</v>
      </c>
      <c r="AF27" s="144"/>
      <c r="AG27" s="146">
        <f t="shared" si="7"/>
        <v>0</v>
      </c>
      <c r="AH27" s="144"/>
      <c r="AI27" s="146">
        <f t="shared" si="8"/>
        <v>0</v>
      </c>
      <c r="AJ27" s="144">
        <f t="shared" si="31"/>
        <v>0</v>
      </c>
      <c r="AK27" s="146">
        <f t="shared" si="9"/>
        <v>0</v>
      </c>
      <c r="AL27" s="166"/>
      <c r="AN27" s="768"/>
      <c r="AO27" s="770"/>
      <c r="AP27" s="138"/>
      <c r="AQ27" s="139"/>
      <c r="AR27" s="139">
        <f t="shared" si="37"/>
        <v>0</v>
      </c>
      <c r="AS27" s="144"/>
      <c r="AT27" s="146">
        <f t="shared" si="38"/>
        <v>0</v>
      </c>
      <c r="AU27" s="144"/>
      <c r="AV27" s="146">
        <f t="shared" si="39"/>
        <v>0</v>
      </c>
      <c r="AW27" s="144"/>
      <c r="AX27" s="146">
        <f t="shared" si="40"/>
        <v>0</v>
      </c>
      <c r="AY27" s="144">
        <f t="shared" si="41"/>
        <v>0</v>
      </c>
      <c r="AZ27" s="146">
        <f t="shared" si="42"/>
        <v>0</v>
      </c>
      <c r="BA27" s="166"/>
      <c r="BC27" s="768"/>
      <c r="BD27" s="770"/>
      <c r="BE27" s="138"/>
      <c r="BF27" s="139"/>
      <c r="BG27" s="139">
        <f t="shared" si="48"/>
        <v>0</v>
      </c>
      <c r="BH27" s="144"/>
      <c r="BI27" s="146">
        <f t="shared" si="43"/>
        <v>0</v>
      </c>
      <c r="BJ27" s="144"/>
      <c r="BK27" s="146">
        <f t="shared" si="44"/>
        <v>0</v>
      </c>
      <c r="BL27" s="144"/>
      <c r="BM27" s="146">
        <f t="shared" si="45"/>
        <v>0</v>
      </c>
      <c r="BN27" s="144">
        <f t="shared" si="46"/>
        <v>0</v>
      </c>
      <c r="BO27" s="146">
        <f t="shared" si="47"/>
        <v>0</v>
      </c>
      <c r="BP27" s="166"/>
      <c r="BR27" s="768"/>
      <c r="BS27" s="770"/>
      <c r="BT27" s="138"/>
      <c r="BU27" s="139"/>
      <c r="BV27" s="139">
        <f t="shared" si="14"/>
        <v>0</v>
      </c>
      <c r="BW27" s="144"/>
      <c r="BX27" s="146">
        <f t="shared" si="15"/>
        <v>0</v>
      </c>
      <c r="BY27" s="144"/>
      <c r="BZ27" s="146">
        <f t="shared" si="16"/>
        <v>0</v>
      </c>
      <c r="CA27" s="144"/>
      <c r="CB27" s="146">
        <f t="shared" si="17"/>
        <v>0</v>
      </c>
      <c r="CC27" s="144">
        <f t="shared" si="33"/>
        <v>0</v>
      </c>
      <c r="CD27" s="146">
        <f t="shared" si="18"/>
        <v>0</v>
      </c>
      <c r="CE27" s="166"/>
      <c r="CG27" s="768"/>
      <c r="CH27" s="770"/>
      <c r="CI27" s="138"/>
      <c r="CJ27" s="139"/>
      <c r="CK27" s="139">
        <f t="shared" si="3"/>
        <v>0</v>
      </c>
      <c r="CL27" s="144"/>
      <c r="CM27" s="146">
        <f t="shared" si="19"/>
        <v>0</v>
      </c>
      <c r="CN27" s="144"/>
      <c r="CO27" s="146">
        <f t="shared" si="20"/>
        <v>0</v>
      </c>
      <c r="CP27" s="144"/>
      <c r="CQ27" s="146">
        <f t="shared" si="21"/>
        <v>0</v>
      </c>
      <c r="CR27" s="144">
        <f t="shared" si="34"/>
        <v>0</v>
      </c>
      <c r="CS27" s="146">
        <f t="shared" si="22"/>
        <v>0</v>
      </c>
      <c r="CT27" s="166"/>
      <c r="CV27" s="768"/>
      <c r="CW27" s="770"/>
      <c r="CX27" s="138"/>
      <c r="CY27" s="139"/>
      <c r="CZ27" s="139">
        <f t="shared" si="4"/>
        <v>0</v>
      </c>
      <c r="DA27" s="144"/>
      <c r="DB27" s="146">
        <f t="shared" si="23"/>
        <v>0</v>
      </c>
      <c r="DC27" s="144"/>
      <c r="DD27" s="146">
        <f t="shared" si="24"/>
        <v>0</v>
      </c>
      <c r="DE27" s="144"/>
      <c r="DF27" s="146">
        <f t="shared" si="25"/>
        <v>0</v>
      </c>
      <c r="DG27" s="144">
        <f t="shared" si="35"/>
        <v>0</v>
      </c>
      <c r="DH27" s="146">
        <f t="shared" si="26"/>
        <v>0</v>
      </c>
      <c r="DI27" s="166"/>
      <c r="DK27" s="768"/>
      <c r="DL27" s="770"/>
      <c r="DM27" s="138"/>
      <c r="DN27" s="139"/>
      <c r="DO27" s="139">
        <f t="shared" si="5"/>
        <v>0</v>
      </c>
      <c r="DP27" s="144"/>
      <c r="DQ27" s="146">
        <f t="shared" si="27"/>
        <v>0</v>
      </c>
      <c r="DR27" s="144"/>
      <c r="DS27" s="146">
        <f t="shared" si="28"/>
        <v>0</v>
      </c>
      <c r="DT27" s="144"/>
      <c r="DU27" s="146">
        <f t="shared" si="29"/>
        <v>0</v>
      </c>
      <c r="DV27" s="144">
        <f t="shared" si="36"/>
        <v>0</v>
      </c>
      <c r="DW27" s="146">
        <f t="shared" si="30"/>
        <v>0</v>
      </c>
      <c r="DX27" s="166"/>
    </row>
    <row r="28" spans="2:128">
      <c r="B28" s="661"/>
      <c r="C28" s="88"/>
      <c r="D28" s="88"/>
      <c r="E28" s="88"/>
      <c r="F28" s="88"/>
      <c r="G28" s="88"/>
      <c r="H28" s="10"/>
      <c r="J28" s="767"/>
      <c r="K28" s="769"/>
      <c r="L28" s="136"/>
      <c r="M28" s="136"/>
      <c r="N28" s="136">
        <f t="shared" si="49"/>
        <v>0</v>
      </c>
      <c r="O28" s="143"/>
      <c r="P28" s="145">
        <f t="shared" si="50"/>
        <v>0</v>
      </c>
      <c r="Q28" s="143"/>
      <c r="R28" s="145">
        <f t="shared" si="51"/>
        <v>0</v>
      </c>
      <c r="S28" s="143"/>
      <c r="T28" s="145">
        <f t="shared" si="52"/>
        <v>0</v>
      </c>
      <c r="U28" s="143">
        <f t="shared" si="53"/>
        <v>0</v>
      </c>
      <c r="V28" s="145">
        <f t="shared" si="54"/>
        <v>0</v>
      </c>
      <c r="W28" s="165"/>
      <c r="Y28" s="767"/>
      <c r="Z28" s="769"/>
      <c r="AA28" s="136"/>
      <c r="AB28" s="136"/>
      <c r="AC28" s="136">
        <f t="shared" si="1"/>
        <v>0</v>
      </c>
      <c r="AD28" s="143"/>
      <c r="AE28" s="145">
        <f t="shared" si="6"/>
        <v>0</v>
      </c>
      <c r="AF28" s="143"/>
      <c r="AG28" s="145">
        <f t="shared" si="7"/>
        <v>0</v>
      </c>
      <c r="AH28" s="143"/>
      <c r="AI28" s="145">
        <f t="shared" si="8"/>
        <v>0</v>
      </c>
      <c r="AJ28" s="143">
        <f t="shared" si="31"/>
        <v>0</v>
      </c>
      <c r="AK28" s="145">
        <f t="shared" si="9"/>
        <v>0</v>
      </c>
      <c r="AL28" s="165"/>
      <c r="AN28" s="767"/>
      <c r="AO28" s="769"/>
      <c r="AP28" s="136"/>
      <c r="AQ28" s="136"/>
      <c r="AR28" s="136">
        <f t="shared" si="37"/>
        <v>0</v>
      </c>
      <c r="AS28" s="143"/>
      <c r="AT28" s="145">
        <f t="shared" si="38"/>
        <v>0</v>
      </c>
      <c r="AU28" s="143"/>
      <c r="AV28" s="145">
        <f t="shared" si="39"/>
        <v>0</v>
      </c>
      <c r="AW28" s="143"/>
      <c r="AX28" s="145">
        <f t="shared" si="40"/>
        <v>0</v>
      </c>
      <c r="AY28" s="143">
        <f t="shared" si="41"/>
        <v>0</v>
      </c>
      <c r="AZ28" s="145">
        <f t="shared" si="42"/>
        <v>0</v>
      </c>
      <c r="BA28" s="165"/>
      <c r="BC28" s="767"/>
      <c r="BD28" s="769"/>
      <c r="BE28" s="136"/>
      <c r="BF28" s="136"/>
      <c r="BG28" s="136">
        <f t="shared" si="48"/>
        <v>0</v>
      </c>
      <c r="BH28" s="143"/>
      <c r="BI28" s="145">
        <f t="shared" si="43"/>
        <v>0</v>
      </c>
      <c r="BJ28" s="143"/>
      <c r="BK28" s="145">
        <f t="shared" si="44"/>
        <v>0</v>
      </c>
      <c r="BL28" s="143"/>
      <c r="BM28" s="145">
        <f t="shared" si="45"/>
        <v>0</v>
      </c>
      <c r="BN28" s="143">
        <f t="shared" si="46"/>
        <v>0</v>
      </c>
      <c r="BO28" s="145">
        <f t="shared" si="47"/>
        <v>0</v>
      </c>
      <c r="BP28" s="165"/>
      <c r="BR28" s="767"/>
      <c r="BS28" s="769"/>
      <c r="BT28" s="136"/>
      <c r="BU28" s="136"/>
      <c r="BV28" s="136">
        <f t="shared" si="14"/>
        <v>0</v>
      </c>
      <c r="BW28" s="143"/>
      <c r="BX28" s="145">
        <f t="shared" si="15"/>
        <v>0</v>
      </c>
      <c r="BY28" s="143"/>
      <c r="BZ28" s="145">
        <f t="shared" si="16"/>
        <v>0</v>
      </c>
      <c r="CA28" s="143"/>
      <c r="CB28" s="145">
        <f t="shared" si="17"/>
        <v>0</v>
      </c>
      <c r="CC28" s="143">
        <f t="shared" si="33"/>
        <v>0</v>
      </c>
      <c r="CD28" s="145">
        <f t="shared" si="18"/>
        <v>0</v>
      </c>
      <c r="CE28" s="165"/>
      <c r="CG28" s="767"/>
      <c r="CH28" s="769"/>
      <c r="CI28" s="136"/>
      <c r="CJ28" s="136"/>
      <c r="CK28" s="136">
        <f t="shared" si="3"/>
        <v>0</v>
      </c>
      <c r="CL28" s="143"/>
      <c r="CM28" s="145">
        <f t="shared" si="19"/>
        <v>0</v>
      </c>
      <c r="CN28" s="143"/>
      <c r="CO28" s="145">
        <f t="shared" si="20"/>
        <v>0</v>
      </c>
      <c r="CP28" s="143"/>
      <c r="CQ28" s="145">
        <f t="shared" si="21"/>
        <v>0</v>
      </c>
      <c r="CR28" s="143">
        <f t="shared" si="34"/>
        <v>0</v>
      </c>
      <c r="CS28" s="145">
        <f t="shared" si="22"/>
        <v>0</v>
      </c>
      <c r="CT28" s="165"/>
      <c r="CV28" s="767"/>
      <c r="CW28" s="769"/>
      <c r="CX28" s="136"/>
      <c r="CY28" s="136"/>
      <c r="CZ28" s="136">
        <f t="shared" si="4"/>
        <v>0</v>
      </c>
      <c r="DA28" s="143"/>
      <c r="DB28" s="145">
        <f t="shared" si="23"/>
        <v>0</v>
      </c>
      <c r="DC28" s="143"/>
      <c r="DD28" s="145">
        <f t="shared" si="24"/>
        <v>0</v>
      </c>
      <c r="DE28" s="143"/>
      <c r="DF28" s="145">
        <f t="shared" si="25"/>
        <v>0</v>
      </c>
      <c r="DG28" s="143">
        <f t="shared" si="35"/>
        <v>0</v>
      </c>
      <c r="DH28" s="145">
        <f t="shared" si="26"/>
        <v>0</v>
      </c>
      <c r="DI28" s="165"/>
      <c r="DK28" s="767"/>
      <c r="DL28" s="769"/>
      <c r="DM28" s="136"/>
      <c r="DN28" s="136"/>
      <c r="DO28" s="136">
        <f t="shared" si="5"/>
        <v>0</v>
      </c>
      <c r="DP28" s="143"/>
      <c r="DQ28" s="145">
        <f t="shared" si="27"/>
        <v>0</v>
      </c>
      <c r="DR28" s="143"/>
      <c r="DS28" s="145">
        <f t="shared" si="28"/>
        <v>0</v>
      </c>
      <c r="DT28" s="143"/>
      <c r="DU28" s="145">
        <f t="shared" si="29"/>
        <v>0</v>
      </c>
      <c r="DV28" s="143">
        <f t="shared" si="36"/>
        <v>0</v>
      </c>
      <c r="DW28" s="145">
        <f t="shared" si="30"/>
        <v>0</v>
      </c>
      <c r="DX28" s="165"/>
    </row>
    <row r="29" spans="2:128">
      <c r="B29" s="662"/>
      <c r="C29" s="87"/>
      <c r="D29" s="87"/>
      <c r="E29" s="87"/>
      <c r="F29" s="87"/>
      <c r="G29" s="87"/>
      <c r="H29" s="12"/>
      <c r="J29" s="768"/>
      <c r="K29" s="770"/>
      <c r="L29" s="138"/>
      <c r="M29" s="139"/>
      <c r="N29" s="139">
        <f t="shared" si="49"/>
        <v>0</v>
      </c>
      <c r="O29" s="144"/>
      <c r="P29" s="146">
        <f t="shared" si="50"/>
        <v>0</v>
      </c>
      <c r="Q29" s="144"/>
      <c r="R29" s="146">
        <f t="shared" si="51"/>
        <v>0</v>
      </c>
      <c r="S29" s="144"/>
      <c r="T29" s="146">
        <f t="shared" si="52"/>
        <v>0</v>
      </c>
      <c r="U29" s="144">
        <f t="shared" si="53"/>
        <v>0</v>
      </c>
      <c r="V29" s="146">
        <f t="shared" si="54"/>
        <v>0</v>
      </c>
      <c r="W29" s="166"/>
      <c r="Y29" s="768"/>
      <c r="Z29" s="770"/>
      <c r="AA29" s="138"/>
      <c r="AB29" s="139"/>
      <c r="AC29" s="139">
        <f t="shared" si="1"/>
        <v>0</v>
      </c>
      <c r="AD29" s="144"/>
      <c r="AE29" s="146">
        <f t="shared" si="6"/>
        <v>0</v>
      </c>
      <c r="AF29" s="144"/>
      <c r="AG29" s="146">
        <f t="shared" si="7"/>
        <v>0</v>
      </c>
      <c r="AH29" s="144"/>
      <c r="AI29" s="146">
        <f t="shared" si="8"/>
        <v>0</v>
      </c>
      <c r="AJ29" s="144">
        <f t="shared" si="31"/>
        <v>0</v>
      </c>
      <c r="AK29" s="146">
        <f t="shared" si="9"/>
        <v>0</v>
      </c>
      <c r="AL29" s="166"/>
      <c r="AN29" s="768"/>
      <c r="AO29" s="770"/>
      <c r="AP29" s="138"/>
      <c r="AQ29" s="139"/>
      <c r="AR29" s="139">
        <f t="shared" si="37"/>
        <v>0</v>
      </c>
      <c r="AS29" s="144"/>
      <c r="AT29" s="146">
        <f t="shared" si="38"/>
        <v>0</v>
      </c>
      <c r="AU29" s="144"/>
      <c r="AV29" s="146">
        <f t="shared" si="39"/>
        <v>0</v>
      </c>
      <c r="AW29" s="144"/>
      <c r="AX29" s="146">
        <f t="shared" si="40"/>
        <v>0</v>
      </c>
      <c r="AY29" s="144">
        <f t="shared" si="41"/>
        <v>0</v>
      </c>
      <c r="AZ29" s="146">
        <f t="shared" si="42"/>
        <v>0</v>
      </c>
      <c r="BA29" s="166"/>
      <c r="BC29" s="768"/>
      <c r="BD29" s="770"/>
      <c r="BE29" s="138"/>
      <c r="BF29" s="139"/>
      <c r="BG29" s="139">
        <f t="shared" si="48"/>
        <v>0</v>
      </c>
      <c r="BH29" s="144"/>
      <c r="BI29" s="146">
        <f t="shared" si="43"/>
        <v>0</v>
      </c>
      <c r="BJ29" s="144"/>
      <c r="BK29" s="146">
        <f t="shared" si="44"/>
        <v>0</v>
      </c>
      <c r="BL29" s="144"/>
      <c r="BM29" s="146">
        <f t="shared" si="45"/>
        <v>0</v>
      </c>
      <c r="BN29" s="144">
        <f t="shared" si="46"/>
        <v>0</v>
      </c>
      <c r="BO29" s="146">
        <f t="shared" si="47"/>
        <v>0</v>
      </c>
      <c r="BP29" s="166"/>
      <c r="BR29" s="768"/>
      <c r="BS29" s="770"/>
      <c r="BT29" s="138"/>
      <c r="BU29" s="139"/>
      <c r="BV29" s="139">
        <f t="shared" si="14"/>
        <v>0</v>
      </c>
      <c r="BW29" s="144"/>
      <c r="BX29" s="146">
        <f t="shared" si="15"/>
        <v>0</v>
      </c>
      <c r="BY29" s="144"/>
      <c r="BZ29" s="146">
        <f t="shared" si="16"/>
        <v>0</v>
      </c>
      <c r="CA29" s="144"/>
      <c r="CB29" s="146">
        <f t="shared" si="17"/>
        <v>0</v>
      </c>
      <c r="CC29" s="144">
        <f t="shared" si="33"/>
        <v>0</v>
      </c>
      <c r="CD29" s="146">
        <f t="shared" si="18"/>
        <v>0</v>
      </c>
      <c r="CE29" s="166"/>
      <c r="CG29" s="768"/>
      <c r="CH29" s="770"/>
      <c r="CI29" s="138"/>
      <c r="CJ29" s="139"/>
      <c r="CK29" s="139">
        <f t="shared" si="3"/>
        <v>0</v>
      </c>
      <c r="CL29" s="144"/>
      <c r="CM29" s="146">
        <f t="shared" si="19"/>
        <v>0</v>
      </c>
      <c r="CN29" s="144"/>
      <c r="CO29" s="146">
        <f t="shared" si="20"/>
        <v>0</v>
      </c>
      <c r="CP29" s="144"/>
      <c r="CQ29" s="146">
        <f t="shared" si="21"/>
        <v>0</v>
      </c>
      <c r="CR29" s="144">
        <f t="shared" si="34"/>
        <v>0</v>
      </c>
      <c r="CS29" s="146">
        <f t="shared" si="22"/>
        <v>0</v>
      </c>
      <c r="CT29" s="166"/>
      <c r="CV29" s="768"/>
      <c r="CW29" s="770"/>
      <c r="CX29" s="138"/>
      <c r="CY29" s="139"/>
      <c r="CZ29" s="139">
        <f t="shared" si="4"/>
        <v>0</v>
      </c>
      <c r="DA29" s="144"/>
      <c r="DB29" s="146">
        <f t="shared" si="23"/>
        <v>0</v>
      </c>
      <c r="DC29" s="144"/>
      <c r="DD29" s="146">
        <f t="shared" si="24"/>
        <v>0</v>
      </c>
      <c r="DE29" s="144"/>
      <c r="DF29" s="146">
        <f t="shared" si="25"/>
        <v>0</v>
      </c>
      <c r="DG29" s="144">
        <f t="shared" si="35"/>
        <v>0</v>
      </c>
      <c r="DH29" s="146">
        <f t="shared" si="26"/>
        <v>0</v>
      </c>
      <c r="DI29" s="166"/>
      <c r="DK29" s="768"/>
      <c r="DL29" s="770"/>
      <c r="DM29" s="138"/>
      <c r="DN29" s="139"/>
      <c r="DO29" s="139">
        <f t="shared" si="5"/>
        <v>0</v>
      </c>
      <c r="DP29" s="144"/>
      <c r="DQ29" s="146">
        <f t="shared" si="27"/>
        <v>0</v>
      </c>
      <c r="DR29" s="144"/>
      <c r="DS29" s="146">
        <f t="shared" si="28"/>
        <v>0</v>
      </c>
      <c r="DT29" s="144"/>
      <c r="DU29" s="146">
        <f t="shared" si="29"/>
        <v>0</v>
      </c>
      <c r="DV29" s="144">
        <f t="shared" si="36"/>
        <v>0</v>
      </c>
      <c r="DW29" s="146">
        <f t="shared" si="30"/>
        <v>0</v>
      </c>
      <c r="DX29" s="166"/>
    </row>
    <row r="30" spans="2:128">
      <c r="B30" s="661"/>
      <c r="C30" s="88"/>
      <c r="D30" s="88"/>
      <c r="E30" s="88"/>
      <c r="F30" s="88"/>
      <c r="G30" s="88"/>
      <c r="H30" s="10"/>
      <c r="J30" s="767"/>
      <c r="K30" s="769"/>
      <c r="L30" s="136"/>
      <c r="M30" s="136"/>
      <c r="N30" s="136">
        <f t="shared" si="49"/>
        <v>0</v>
      </c>
      <c r="O30" s="143"/>
      <c r="P30" s="145">
        <f t="shared" si="50"/>
        <v>0</v>
      </c>
      <c r="Q30" s="143"/>
      <c r="R30" s="145">
        <f t="shared" si="51"/>
        <v>0</v>
      </c>
      <c r="S30" s="143"/>
      <c r="T30" s="145">
        <f t="shared" si="52"/>
        <v>0</v>
      </c>
      <c r="U30" s="143">
        <f t="shared" si="53"/>
        <v>0</v>
      </c>
      <c r="V30" s="145">
        <f t="shared" si="54"/>
        <v>0</v>
      </c>
      <c r="W30" s="165"/>
      <c r="Y30" s="767"/>
      <c r="Z30" s="769"/>
      <c r="AA30" s="136"/>
      <c r="AB30" s="136"/>
      <c r="AC30" s="136">
        <f t="shared" si="1"/>
        <v>0</v>
      </c>
      <c r="AD30" s="143"/>
      <c r="AE30" s="145">
        <f t="shared" si="6"/>
        <v>0</v>
      </c>
      <c r="AF30" s="143"/>
      <c r="AG30" s="145">
        <f t="shared" si="7"/>
        <v>0</v>
      </c>
      <c r="AH30" s="143"/>
      <c r="AI30" s="145">
        <f t="shared" si="8"/>
        <v>0</v>
      </c>
      <c r="AJ30" s="143">
        <f t="shared" si="31"/>
        <v>0</v>
      </c>
      <c r="AK30" s="145">
        <f t="shared" si="9"/>
        <v>0</v>
      </c>
      <c r="AL30" s="165"/>
      <c r="AN30" s="767"/>
      <c r="AO30" s="769"/>
      <c r="AP30" s="136"/>
      <c r="AQ30" s="136"/>
      <c r="AR30" s="136">
        <f t="shared" si="37"/>
        <v>0</v>
      </c>
      <c r="AS30" s="143"/>
      <c r="AT30" s="145">
        <f t="shared" si="38"/>
        <v>0</v>
      </c>
      <c r="AU30" s="143"/>
      <c r="AV30" s="145">
        <f t="shared" si="39"/>
        <v>0</v>
      </c>
      <c r="AW30" s="143"/>
      <c r="AX30" s="145">
        <f t="shared" si="40"/>
        <v>0</v>
      </c>
      <c r="AY30" s="143">
        <f t="shared" si="41"/>
        <v>0</v>
      </c>
      <c r="AZ30" s="145">
        <f t="shared" si="42"/>
        <v>0</v>
      </c>
      <c r="BA30" s="165"/>
      <c r="BC30" s="767"/>
      <c r="BD30" s="769"/>
      <c r="BE30" s="136"/>
      <c r="BF30" s="136"/>
      <c r="BG30" s="136">
        <f t="shared" si="48"/>
        <v>0</v>
      </c>
      <c r="BH30" s="143"/>
      <c r="BI30" s="145">
        <f t="shared" si="43"/>
        <v>0</v>
      </c>
      <c r="BJ30" s="143"/>
      <c r="BK30" s="145">
        <f t="shared" si="44"/>
        <v>0</v>
      </c>
      <c r="BL30" s="143"/>
      <c r="BM30" s="145">
        <f t="shared" si="45"/>
        <v>0</v>
      </c>
      <c r="BN30" s="143">
        <f t="shared" si="46"/>
        <v>0</v>
      </c>
      <c r="BO30" s="145">
        <f t="shared" si="47"/>
        <v>0</v>
      </c>
      <c r="BP30" s="165"/>
      <c r="BR30" s="767"/>
      <c r="BS30" s="769"/>
      <c r="BT30" s="136"/>
      <c r="BU30" s="136"/>
      <c r="BV30" s="136">
        <f t="shared" si="14"/>
        <v>0</v>
      </c>
      <c r="BW30" s="143"/>
      <c r="BX30" s="145">
        <f t="shared" si="15"/>
        <v>0</v>
      </c>
      <c r="BY30" s="143"/>
      <c r="BZ30" s="145">
        <f t="shared" si="16"/>
        <v>0</v>
      </c>
      <c r="CA30" s="143"/>
      <c r="CB30" s="145">
        <f t="shared" si="17"/>
        <v>0</v>
      </c>
      <c r="CC30" s="143">
        <f t="shared" si="33"/>
        <v>0</v>
      </c>
      <c r="CD30" s="145">
        <f t="shared" si="18"/>
        <v>0</v>
      </c>
      <c r="CE30" s="165"/>
      <c r="CG30" s="767"/>
      <c r="CH30" s="769"/>
      <c r="CI30" s="136"/>
      <c r="CJ30" s="136"/>
      <c r="CK30" s="136">
        <f t="shared" si="3"/>
        <v>0</v>
      </c>
      <c r="CL30" s="143"/>
      <c r="CM30" s="145">
        <f t="shared" si="19"/>
        <v>0</v>
      </c>
      <c r="CN30" s="143"/>
      <c r="CO30" s="145">
        <f t="shared" si="20"/>
        <v>0</v>
      </c>
      <c r="CP30" s="143"/>
      <c r="CQ30" s="145">
        <f t="shared" si="21"/>
        <v>0</v>
      </c>
      <c r="CR30" s="143">
        <f t="shared" si="34"/>
        <v>0</v>
      </c>
      <c r="CS30" s="145">
        <f t="shared" si="22"/>
        <v>0</v>
      </c>
      <c r="CT30" s="165"/>
      <c r="CV30" s="767"/>
      <c r="CW30" s="769"/>
      <c r="CX30" s="136"/>
      <c r="CY30" s="136"/>
      <c r="CZ30" s="136">
        <f t="shared" si="4"/>
        <v>0</v>
      </c>
      <c r="DA30" s="143"/>
      <c r="DB30" s="145">
        <f t="shared" si="23"/>
        <v>0</v>
      </c>
      <c r="DC30" s="143"/>
      <c r="DD30" s="145">
        <f t="shared" si="24"/>
        <v>0</v>
      </c>
      <c r="DE30" s="143"/>
      <c r="DF30" s="145">
        <f t="shared" si="25"/>
        <v>0</v>
      </c>
      <c r="DG30" s="143">
        <f t="shared" si="35"/>
        <v>0</v>
      </c>
      <c r="DH30" s="145">
        <f t="shared" si="26"/>
        <v>0</v>
      </c>
      <c r="DI30" s="165"/>
      <c r="DK30" s="767"/>
      <c r="DL30" s="769"/>
      <c r="DM30" s="136"/>
      <c r="DN30" s="136"/>
      <c r="DO30" s="136">
        <f t="shared" si="5"/>
        <v>0</v>
      </c>
      <c r="DP30" s="143"/>
      <c r="DQ30" s="145">
        <f t="shared" si="27"/>
        <v>0</v>
      </c>
      <c r="DR30" s="143"/>
      <c r="DS30" s="145">
        <f t="shared" si="28"/>
        <v>0</v>
      </c>
      <c r="DT30" s="143"/>
      <c r="DU30" s="145">
        <f t="shared" si="29"/>
        <v>0</v>
      </c>
      <c r="DV30" s="143">
        <f t="shared" si="36"/>
        <v>0</v>
      </c>
      <c r="DW30" s="145">
        <f t="shared" si="30"/>
        <v>0</v>
      </c>
      <c r="DX30" s="165"/>
    </row>
    <row r="31" spans="2:128">
      <c r="B31" s="662"/>
      <c r="C31" s="87"/>
      <c r="D31" s="87"/>
      <c r="E31" s="87"/>
      <c r="F31" s="87"/>
      <c r="G31" s="87"/>
      <c r="H31" s="12"/>
      <c r="J31" s="768"/>
      <c r="K31" s="770"/>
      <c r="L31" s="138"/>
      <c r="M31" s="139"/>
      <c r="N31" s="139">
        <f t="shared" si="49"/>
        <v>0</v>
      </c>
      <c r="O31" s="144"/>
      <c r="P31" s="146">
        <f t="shared" si="50"/>
        <v>0</v>
      </c>
      <c r="Q31" s="144"/>
      <c r="R31" s="146">
        <f t="shared" si="51"/>
        <v>0</v>
      </c>
      <c r="S31" s="144"/>
      <c r="T31" s="146">
        <f t="shared" si="52"/>
        <v>0</v>
      </c>
      <c r="U31" s="144">
        <f t="shared" si="53"/>
        <v>0</v>
      </c>
      <c r="V31" s="146">
        <f t="shared" si="54"/>
        <v>0</v>
      </c>
      <c r="W31" s="166"/>
      <c r="Y31" s="768"/>
      <c r="Z31" s="770"/>
      <c r="AA31" s="138"/>
      <c r="AB31" s="139"/>
      <c r="AC31" s="139">
        <f t="shared" si="1"/>
        <v>0</v>
      </c>
      <c r="AD31" s="144"/>
      <c r="AE31" s="146">
        <f t="shared" si="6"/>
        <v>0</v>
      </c>
      <c r="AF31" s="144"/>
      <c r="AG31" s="146">
        <f t="shared" si="7"/>
        <v>0</v>
      </c>
      <c r="AH31" s="144"/>
      <c r="AI31" s="146">
        <f t="shared" si="8"/>
        <v>0</v>
      </c>
      <c r="AJ31" s="144">
        <f t="shared" si="31"/>
        <v>0</v>
      </c>
      <c r="AK31" s="146">
        <f t="shared" si="9"/>
        <v>0</v>
      </c>
      <c r="AL31" s="166"/>
      <c r="AN31" s="768"/>
      <c r="AO31" s="770"/>
      <c r="AP31" s="138"/>
      <c r="AQ31" s="139"/>
      <c r="AR31" s="139">
        <f t="shared" si="37"/>
        <v>0</v>
      </c>
      <c r="AS31" s="144"/>
      <c r="AT31" s="146">
        <f t="shared" si="38"/>
        <v>0</v>
      </c>
      <c r="AU31" s="144"/>
      <c r="AV31" s="146">
        <f t="shared" si="39"/>
        <v>0</v>
      </c>
      <c r="AW31" s="144"/>
      <c r="AX31" s="146">
        <f t="shared" si="40"/>
        <v>0</v>
      </c>
      <c r="AY31" s="144">
        <f t="shared" si="41"/>
        <v>0</v>
      </c>
      <c r="AZ31" s="146">
        <f t="shared" si="42"/>
        <v>0</v>
      </c>
      <c r="BA31" s="166"/>
      <c r="BC31" s="768"/>
      <c r="BD31" s="770"/>
      <c r="BE31" s="138"/>
      <c r="BF31" s="139"/>
      <c r="BG31" s="139">
        <f t="shared" si="48"/>
        <v>0</v>
      </c>
      <c r="BH31" s="144"/>
      <c r="BI31" s="146">
        <f t="shared" si="43"/>
        <v>0</v>
      </c>
      <c r="BJ31" s="144"/>
      <c r="BK31" s="146">
        <f t="shared" si="44"/>
        <v>0</v>
      </c>
      <c r="BL31" s="144"/>
      <c r="BM31" s="146">
        <f t="shared" si="45"/>
        <v>0</v>
      </c>
      <c r="BN31" s="144">
        <f t="shared" si="46"/>
        <v>0</v>
      </c>
      <c r="BO31" s="146">
        <f t="shared" si="47"/>
        <v>0</v>
      </c>
      <c r="BP31" s="166"/>
      <c r="BR31" s="768"/>
      <c r="BS31" s="770"/>
      <c r="BT31" s="138"/>
      <c r="BU31" s="139"/>
      <c r="BV31" s="139">
        <f t="shared" si="14"/>
        <v>0</v>
      </c>
      <c r="BW31" s="144"/>
      <c r="BX31" s="146">
        <f t="shared" si="15"/>
        <v>0</v>
      </c>
      <c r="BY31" s="144"/>
      <c r="BZ31" s="146">
        <f t="shared" si="16"/>
        <v>0</v>
      </c>
      <c r="CA31" s="144"/>
      <c r="CB31" s="146">
        <f t="shared" si="17"/>
        <v>0</v>
      </c>
      <c r="CC31" s="144">
        <f t="shared" si="33"/>
        <v>0</v>
      </c>
      <c r="CD31" s="146">
        <f t="shared" si="18"/>
        <v>0</v>
      </c>
      <c r="CE31" s="166"/>
      <c r="CG31" s="768"/>
      <c r="CH31" s="770"/>
      <c r="CI31" s="138"/>
      <c r="CJ31" s="139"/>
      <c r="CK31" s="139">
        <f t="shared" si="3"/>
        <v>0</v>
      </c>
      <c r="CL31" s="144"/>
      <c r="CM31" s="146">
        <f t="shared" si="19"/>
        <v>0</v>
      </c>
      <c r="CN31" s="144"/>
      <c r="CO31" s="146">
        <f t="shared" si="20"/>
        <v>0</v>
      </c>
      <c r="CP31" s="144"/>
      <c r="CQ31" s="146">
        <f t="shared" si="21"/>
        <v>0</v>
      </c>
      <c r="CR31" s="144">
        <f t="shared" si="34"/>
        <v>0</v>
      </c>
      <c r="CS31" s="146">
        <f t="shared" si="22"/>
        <v>0</v>
      </c>
      <c r="CT31" s="166"/>
      <c r="CV31" s="768"/>
      <c r="CW31" s="770"/>
      <c r="CX31" s="138"/>
      <c r="CY31" s="139"/>
      <c r="CZ31" s="139">
        <f t="shared" si="4"/>
        <v>0</v>
      </c>
      <c r="DA31" s="144"/>
      <c r="DB31" s="146">
        <f t="shared" si="23"/>
        <v>0</v>
      </c>
      <c r="DC31" s="144"/>
      <c r="DD31" s="146">
        <f t="shared" si="24"/>
        <v>0</v>
      </c>
      <c r="DE31" s="144"/>
      <c r="DF31" s="146">
        <f t="shared" si="25"/>
        <v>0</v>
      </c>
      <c r="DG31" s="144">
        <f t="shared" si="35"/>
        <v>0</v>
      </c>
      <c r="DH31" s="146">
        <f t="shared" si="26"/>
        <v>0</v>
      </c>
      <c r="DI31" s="166"/>
      <c r="DK31" s="768"/>
      <c r="DL31" s="770"/>
      <c r="DM31" s="138"/>
      <c r="DN31" s="139"/>
      <c r="DO31" s="139">
        <f t="shared" si="5"/>
        <v>0</v>
      </c>
      <c r="DP31" s="144"/>
      <c r="DQ31" s="146">
        <f t="shared" si="27"/>
        <v>0</v>
      </c>
      <c r="DR31" s="144"/>
      <c r="DS31" s="146">
        <f t="shared" si="28"/>
        <v>0</v>
      </c>
      <c r="DT31" s="144"/>
      <c r="DU31" s="146">
        <f t="shared" si="29"/>
        <v>0</v>
      </c>
      <c r="DV31" s="144">
        <f t="shared" si="36"/>
        <v>0</v>
      </c>
      <c r="DW31" s="146">
        <f t="shared" si="30"/>
        <v>0</v>
      </c>
      <c r="DX31" s="166"/>
    </row>
    <row r="32" spans="2:128">
      <c r="B32" s="661"/>
      <c r="C32" s="88"/>
      <c r="D32" s="88"/>
      <c r="E32" s="88"/>
      <c r="F32" s="88"/>
      <c r="G32" s="88"/>
      <c r="H32" s="10"/>
      <c r="J32" s="767"/>
      <c r="K32" s="769"/>
      <c r="L32" s="136"/>
      <c r="M32" s="136"/>
      <c r="N32" s="136">
        <f t="shared" si="49"/>
        <v>0</v>
      </c>
      <c r="O32" s="143"/>
      <c r="P32" s="145">
        <f t="shared" si="50"/>
        <v>0</v>
      </c>
      <c r="Q32" s="143"/>
      <c r="R32" s="145">
        <f t="shared" si="51"/>
        <v>0</v>
      </c>
      <c r="S32" s="143"/>
      <c r="T32" s="145">
        <f t="shared" si="52"/>
        <v>0</v>
      </c>
      <c r="U32" s="143">
        <f t="shared" si="53"/>
        <v>0</v>
      </c>
      <c r="V32" s="145">
        <f t="shared" si="54"/>
        <v>0</v>
      </c>
      <c r="W32" s="165"/>
      <c r="Y32" s="767"/>
      <c r="Z32" s="769"/>
      <c r="AA32" s="136"/>
      <c r="AB32" s="136"/>
      <c r="AC32" s="136">
        <f t="shared" si="1"/>
        <v>0</v>
      </c>
      <c r="AD32" s="143"/>
      <c r="AE32" s="145">
        <f t="shared" si="6"/>
        <v>0</v>
      </c>
      <c r="AF32" s="143"/>
      <c r="AG32" s="145">
        <f t="shared" si="7"/>
        <v>0</v>
      </c>
      <c r="AH32" s="143"/>
      <c r="AI32" s="145">
        <f t="shared" si="8"/>
        <v>0</v>
      </c>
      <c r="AJ32" s="143">
        <f t="shared" si="31"/>
        <v>0</v>
      </c>
      <c r="AK32" s="145">
        <f t="shared" si="9"/>
        <v>0</v>
      </c>
      <c r="AL32" s="165"/>
      <c r="AN32" s="767"/>
      <c r="AO32" s="769"/>
      <c r="AP32" s="136"/>
      <c r="AQ32" s="136"/>
      <c r="AR32" s="136">
        <f t="shared" si="37"/>
        <v>0</v>
      </c>
      <c r="AS32" s="143"/>
      <c r="AT32" s="145">
        <f t="shared" si="38"/>
        <v>0</v>
      </c>
      <c r="AU32" s="143"/>
      <c r="AV32" s="145">
        <f t="shared" si="39"/>
        <v>0</v>
      </c>
      <c r="AW32" s="143"/>
      <c r="AX32" s="145">
        <f t="shared" si="40"/>
        <v>0</v>
      </c>
      <c r="AY32" s="143">
        <f t="shared" si="41"/>
        <v>0</v>
      </c>
      <c r="AZ32" s="145">
        <f t="shared" si="42"/>
        <v>0</v>
      </c>
      <c r="BA32" s="165"/>
      <c r="BC32" s="767"/>
      <c r="BD32" s="769"/>
      <c r="BE32" s="136"/>
      <c r="BF32" s="136"/>
      <c r="BG32" s="136">
        <f t="shared" si="48"/>
        <v>0</v>
      </c>
      <c r="BH32" s="143"/>
      <c r="BI32" s="145">
        <f t="shared" si="43"/>
        <v>0</v>
      </c>
      <c r="BJ32" s="143"/>
      <c r="BK32" s="145">
        <f t="shared" si="44"/>
        <v>0</v>
      </c>
      <c r="BL32" s="143"/>
      <c r="BM32" s="145">
        <f t="shared" si="45"/>
        <v>0</v>
      </c>
      <c r="BN32" s="143">
        <f t="shared" si="46"/>
        <v>0</v>
      </c>
      <c r="BO32" s="145">
        <f t="shared" si="47"/>
        <v>0</v>
      </c>
      <c r="BP32" s="165"/>
      <c r="BR32" s="767"/>
      <c r="BS32" s="769"/>
      <c r="BT32" s="136"/>
      <c r="BU32" s="136"/>
      <c r="BV32" s="136">
        <f t="shared" si="14"/>
        <v>0</v>
      </c>
      <c r="BW32" s="143"/>
      <c r="BX32" s="145">
        <f t="shared" si="15"/>
        <v>0</v>
      </c>
      <c r="BY32" s="143"/>
      <c r="BZ32" s="145">
        <f t="shared" si="16"/>
        <v>0</v>
      </c>
      <c r="CA32" s="143"/>
      <c r="CB32" s="145">
        <f t="shared" si="17"/>
        <v>0</v>
      </c>
      <c r="CC32" s="143">
        <f t="shared" si="33"/>
        <v>0</v>
      </c>
      <c r="CD32" s="145">
        <f t="shared" si="18"/>
        <v>0</v>
      </c>
      <c r="CE32" s="165"/>
      <c r="CG32" s="767"/>
      <c r="CH32" s="769"/>
      <c r="CI32" s="136"/>
      <c r="CJ32" s="136"/>
      <c r="CK32" s="136">
        <f t="shared" si="3"/>
        <v>0</v>
      </c>
      <c r="CL32" s="143"/>
      <c r="CM32" s="145">
        <f t="shared" si="19"/>
        <v>0</v>
      </c>
      <c r="CN32" s="143"/>
      <c r="CO32" s="145">
        <f t="shared" si="20"/>
        <v>0</v>
      </c>
      <c r="CP32" s="143"/>
      <c r="CQ32" s="145">
        <f t="shared" si="21"/>
        <v>0</v>
      </c>
      <c r="CR32" s="143">
        <f t="shared" si="34"/>
        <v>0</v>
      </c>
      <c r="CS32" s="145">
        <f t="shared" si="22"/>
        <v>0</v>
      </c>
      <c r="CT32" s="165"/>
      <c r="CV32" s="767"/>
      <c r="CW32" s="769"/>
      <c r="CX32" s="136"/>
      <c r="CY32" s="136"/>
      <c r="CZ32" s="136">
        <f t="shared" si="4"/>
        <v>0</v>
      </c>
      <c r="DA32" s="143"/>
      <c r="DB32" s="145">
        <f t="shared" si="23"/>
        <v>0</v>
      </c>
      <c r="DC32" s="143"/>
      <c r="DD32" s="145">
        <f t="shared" si="24"/>
        <v>0</v>
      </c>
      <c r="DE32" s="143"/>
      <c r="DF32" s="145">
        <f t="shared" si="25"/>
        <v>0</v>
      </c>
      <c r="DG32" s="143">
        <f t="shared" si="35"/>
        <v>0</v>
      </c>
      <c r="DH32" s="145">
        <f t="shared" si="26"/>
        <v>0</v>
      </c>
      <c r="DI32" s="165"/>
      <c r="DK32" s="767"/>
      <c r="DL32" s="769"/>
      <c r="DM32" s="136"/>
      <c r="DN32" s="136"/>
      <c r="DO32" s="136">
        <f t="shared" si="5"/>
        <v>0</v>
      </c>
      <c r="DP32" s="143"/>
      <c r="DQ32" s="145">
        <f t="shared" si="27"/>
        <v>0</v>
      </c>
      <c r="DR32" s="143"/>
      <c r="DS32" s="145">
        <f t="shared" si="28"/>
        <v>0</v>
      </c>
      <c r="DT32" s="143"/>
      <c r="DU32" s="145">
        <f t="shared" si="29"/>
        <v>0</v>
      </c>
      <c r="DV32" s="143">
        <f t="shared" si="36"/>
        <v>0</v>
      </c>
      <c r="DW32" s="145">
        <f t="shared" si="30"/>
        <v>0</v>
      </c>
      <c r="DX32" s="165"/>
    </row>
    <row r="33" spans="2:128">
      <c r="B33" s="662"/>
      <c r="C33" s="87"/>
      <c r="D33" s="87"/>
      <c r="E33" s="87"/>
      <c r="F33" s="87"/>
      <c r="G33" s="87"/>
      <c r="H33" s="12"/>
      <c r="J33" s="768"/>
      <c r="K33" s="770"/>
      <c r="L33" s="138"/>
      <c r="M33" s="139"/>
      <c r="N33" s="139">
        <f t="shared" si="49"/>
        <v>0</v>
      </c>
      <c r="O33" s="144"/>
      <c r="P33" s="146">
        <f t="shared" si="50"/>
        <v>0</v>
      </c>
      <c r="Q33" s="144"/>
      <c r="R33" s="146">
        <f t="shared" si="51"/>
        <v>0</v>
      </c>
      <c r="S33" s="144"/>
      <c r="T33" s="146">
        <f t="shared" si="52"/>
        <v>0</v>
      </c>
      <c r="U33" s="144">
        <f t="shared" si="53"/>
        <v>0</v>
      </c>
      <c r="V33" s="146">
        <f t="shared" si="54"/>
        <v>0</v>
      </c>
      <c r="W33" s="166"/>
      <c r="Y33" s="768"/>
      <c r="Z33" s="770"/>
      <c r="AA33" s="138"/>
      <c r="AB33" s="139"/>
      <c r="AC33" s="139">
        <f t="shared" si="1"/>
        <v>0</v>
      </c>
      <c r="AD33" s="144"/>
      <c r="AE33" s="146">
        <f t="shared" si="6"/>
        <v>0</v>
      </c>
      <c r="AF33" s="144"/>
      <c r="AG33" s="146">
        <f t="shared" si="7"/>
        <v>0</v>
      </c>
      <c r="AH33" s="144"/>
      <c r="AI33" s="146">
        <f t="shared" si="8"/>
        <v>0</v>
      </c>
      <c r="AJ33" s="144">
        <f t="shared" si="31"/>
        <v>0</v>
      </c>
      <c r="AK33" s="146">
        <f t="shared" si="9"/>
        <v>0</v>
      </c>
      <c r="AL33" s="166"/>
      <c r="AN33" s="768"/>
      <c r="AO33" s="770"/>
      <c r="AP33" s="138"/>
      <c r="AQ33" s="139"/>
      <c r="AR33" s="139">
        <f t="shared" si="37"/>
        <v>0</v>
      </c>
      <c r="AS33" s="144"/>
      <c r="AT33" s="146">
        <f t="shared" si="38"/>
        <v>0</v>
      </c>
      <c r="AU33" s="144"/>
      <c r="AV33" s="146">
        <f t="shared" si="39"/>
        <v>0</v>
      </c>
      <c r="AW33" s="144"/>
      <c r="AX33" s="146">
        <f t="shared" si="40"/>
        <v>0</v>
      </c>
      <c r="AY33" s="144">
        <f t="shared" si="41"/>
        <v>0</v>
      </c>
      <c r="AZ33" s="146">
        <f t="shared" si="42"/>
        <v>0</v>
      </c>
      <c r="BA33" s="166"/>
      <c r="BC33" s="768"/>
      <c r="BD33" s="770"/>
      <c r="BE33" s="138"/>
      <c r="BF33" s="139"/>
      <c r="BG33" s="139">
        <f t="shared" si="48"/>
        <v>0</v>
      </c>
      <c r="BH33" s="144"/>
      <c r="BI33" s="146">
        <f t="shared" si="43"/>
        <v>0</v>
      </c>
      <c r="BJ33" s="144"/>
      <c r="BK33" s="146">
        <f t="shared" si="44"/>
        <v>0</v>
      </c>
      <c r="BL33" s="144"/>
      <c r="BM33" s="146">
        <f t="shared" si="45"/>
        <v>0</v>
      </c>
      <c r="BN33" s="144">
        <f t="shared" si="46"/>
        <v>0</v>
      </c>
      <c r="BO33" s="146">
        <f t="shared" si="47"/>
        <v>0</v>
      </c>
      <c r="BP33" s="166"/>
      <c r="BR33" s="768"/>
      <c r="BS33" s="770"/>
      <c r="BT33" s="138"/>
      <c r="BU33" s="139"/>
      <c r="BV33" s="139">
        <f t="shared" si="14"/>
        <v>0</v>
      </c>
      <c r="BW33" s="144"/>
      <c r="BX33" s="146">
        <f t="shared" si="15"/>
        <v>0</v>
      </c>
      <c r="BY33" s="144"/>
      <c r="BZ33" s="146">
        <f t="shared" si="16"/>
        <v>0</v>
      </c>
      <c r="CA33" s="144"/>
      <c r="CB33" s="146">
        <f t="shared" si="17"/>
        <v>0</v>
      </c>
      <c r="CC33" s="144">
        <f t="shared" si="33"/>
        <v>0</v>
      </c>
      <c r="CD33" s="146">
        <f t="shared" si="18"/>
        <v>0</v>
      </c>
      <c r="CE33" s="166"/>
      <c r="CG33" s="768"/>
      <c r="CH33" s="770"/>
      <c r="CI33" s="138"/>
      <c r="CJ33" s="139"/>
      <c r="CK33" s="139">
        <f t="shared" si="3"/>
        <v>0</v>
      </c>
      <c r="CL33" s="144"/>
      <c r="CM33" s="146">
        <f t="shared" si="19"/>
        <v>0</v>
      </c>
      <c r="CN33" s="144"/>
      <c r="CO33" s="146">
        <f t="shared" si="20"/>
        <v>0</v>
      </c>
      <c r="CP33" s="144"/>
      <c r="CQ33" s="146">
        <f t="shared" si="21"/>
        <v>0</v>
      </c>
      <c r="CR33" s="144">
        <f t="shared" si="34"/>
        <v>0</v>
      </c>
      <c r="CS33" s="146">
        <f t="shared" si="22"/>
        <v>0</v>
      </c>
      <c r="CT33" s="166"/>
      <c r="CV33" s="768"/>
      <c r="CW33" s="770"/>
      <c r="CX33" s="138"/>
      <c r="CY33" s="139"/>
      <c r="CZ33" s="139">
        <f t="shared" si="4"/>
        <v>0</v>
      </c>
      <c r="DA33" s="144"/>
      <c r="DB33" s="146">
        <f t="shared" si="23"/>
        <v>0</v>
      </c>
      <c r="DC33" s="144"/>
      <c r="DD33" s="146">
        <f t="shared" si="24"/>
        <v>0</v>
      </c>
      <c r="DE33" s="144"/>
      <c r="DF33" s="146">
        <f t="shared" si="25"/>
        <v>0</v>
      </c>
      <c r="DG33" s="144">
        <f t="shared" si="35"/>
        <v>0</v>
      </c>
      <c r="DH33" s="146">
        <f t="shared" si="26"/>
        <v>0</v>
      </c>
      <c r="DI33" s="166"/>
      <c r="DK33" s="768"/>
      <c r="DL33" s="770"/>
      <c r="DM33" s="138"/>
      <c r="DN33" s="139"/>
      <c r="DO33" s="139">
        <f t="shared" si="5"/>
        <v>0</v>
      </c>
      <c r="DP33" s="144"/>
      <c r="DQ33" s="146">
        <f t="shared" si="27"/>
        <v>0</v>
      </c>
      <c r="DR33" s="144"/>
      <c r="DS33" s="146">
        <f t="shared" si="28"/>
        <v>0</v>
      </c>
      <c r="DT33" s="144"/>
      <c r="DU33" s="146">
        <f t="shared" si="29"/>
        <v>0</v>
      </c>
      <c r="DV33" s="144">
        <f t="shared" si="36"/>
        <v>0</v>
      </c>
      <c r="DW33" s="146">
        <f t="shared" si="30"/>
        <v>0</v>
      </c>
      <c r="DX33" s="166"/>
    </row>
    <row r="34" spans="2:128">
      <c r="B34" s="661"/>
      <c r="C34" s="88"/>
      <c r="D34" s="88"/>
      <c r="E34" s="88"/>
      <c r="F34" s="88"/>
      <c r="G34" s="88"/>
      <c r="H34" s="10"/>
      <c r="J34" s="767"/>
      <c r="K34" s="769"/>
      <c r="L34" s="136"/>
      <c r="M34" s="136"/>
      <c r="N34" s="136">
        <f t="shared" si="49"/>
        <v>0</v>
      </c>
      <c r="O34" s="143"/>
      <c r="P34" s="145">
        <f t="shared" si="50"/>
        <v>0</v>
      </c>
      <c r="Q34" s="143"/>
      <c r="R34" s="145">
        <f t="shared" si="51"/>
        <v>0</v>
      </c>
      <c r="S34" s="143"/>
      <c r="T34" s="145">
        <f t="shared" si="52"/>
        <v>0</v>
      </c>
      <c r="U34" s="143">
        <f t="shared" si="53"/>
        <v>0</v>
      </c>
      <c r="V34" s="145">
        <f t="shared" si="54"/>
        <v>0</v>
      </c>
      <c r="W34" s="165"/>
      <c r="Y34" s="767"/>
      <c r="Z34" s="769"/>
      <c r="AA34" s="136"/>
      <c r="AB34" s="136"/>
      <c r="AC34" s="136">
        <f t="shared" si="1"/>
        <v>0</v>
      </c>
      <c r="AD34" s="143"/>
      <c r="AE34" s="145">
        <f t="shared" si="6"/>
        <v>0</v>
      </c>
      <c r="AF34" s="143"/>
      <c r="AG34" s="145">
        <f t="shared" si="7"/>
        <v>0</v>
      </c>
      <c r="AH34" s="143"/>
      <c r="AI34" s="145">
        <f t="shared" si="8"/>
        <v>0</v>
      </c>
      <c r="AJ34" s="143">
        <f t="shared" si="31"/>
        <v>0</v>
      </c>
      <c r="AK34" s="145">
        <f t="shared" si="9"/>
        <v>0</v>
      </c>
      <c r="AL34" s="165"/>
      <c r="AN34" s="767"/>
      <c r="AO34" s="769"/>
      <c r="AP34" s="136"/>
      <c r="AQ34" s="136"/>
      <c r="AR34" s="136">
        <f t="shared" si="37"/>
        <v>0</v>
      </c>
      <c r="AS34" s="143"/>
      <c r="AT34" s="145">
        <f t="shared" si="38"/>
        <v>0</v>
      </c>
      <c r="AU34" s="143"/>
      <c r="AV34" s="145">
        <f t="shared" si="39"/>
        <v>0</v>
      </c>
      <c r="AW34" s="143"/>
      <c r="AX34" s="145">
        <f t="shared" si="40"/>
        <v>0</v>
      </c>
      <c r="AY34" s="143">
        <f t="shared" si="41"/>
        <v>0</v>
      </c>
      <c r="AZ34" s="145">
        <f t="shared" si="42"/>
        <v>0</v>
      </c>
      <c r="BA34" s="165"/>
      <c r="BC34" s="767"/>
      <c r="BD34" s="769"/>
      <c r="BE34" s="136"/>
      <c r="BF34" s="136"/>
      <c r="BG34" s="136">
        <f t="shared" si="48"/>
        <v>0</v>
      </c>
      <c r="BH34" s="143"/>
      <c r="BI34" s="145">
        <f t="shared" si="43"/>
        <v>0</v>
      </c>
      <c r="BJ34" s="143"/>
      <c r="BK34" s="145">
        <f t="shared" si="44"/>
        <v>0</v>
      </c>
      <c r="BL34" s="143"/>
      <c r="BM34" s="145">
        <f t="shared" si="45"/>
        <v>0</v>
      </c>
      <c r="BN34" s="143">
        <f t="shared" si="46"/>
        <v>0</v>
      </c>
      <c r="BO34" s="145">
        <f t="shared" si="47"/>
        <v>0</v>
      </c>
      <c r="BP34" s="165"/>
      <c r="BR34" s="767"/>
      <c r="BS34" s="769"/>
      <c r="BT34" s="136"/>
      <c r="BU34" s="136"/>
      <c r="BV34" s="136">
        <f t="shared" si="14"/>
        <v>0</v>
      </c>
      <c r="BW34" s="143"/>
      <c r="BX34" s="145">
        <f t="shared" si="15"/>
        <v>0</v>
      </c>
      <c r="BY34" s="143"/>
      <c r="BZ34" s="145">
        <f t="shared" si="16"/>
        <v>0</v>
      </c>
      <c r="CA34" s="143"/>
      <c r="CB34" s="145">
        <f t="shared" si="17"/>
        <v>0</v>
      </c>
      <c r="CC34" s="143">
        <f t="shared" si="33"/>
        <v>0</v>
      </c>
      <c r="CD34" s="145">
        <f t="shared" si="18"/>
        <v>0</v>
      </c>
      <c r="CE34" s="165"/>
      <c r="CG34" s="767"/>
      <c r="CH34" s="769"/>
      <c r="CI34" s="136"/>
      <c r="CJ34" s="136"/>
      <c r="CK34" s="136">
        <f t="shared" si="3"/>
        <v>0</v>
      </c>
      <c r="CL34" s="143"/>
      <c r="CM34" s="145">
        <f t="shared" si="19"/>
        <v>0</v>
      </c>
      <c r="CN34" s="143"/>
      <c r="CO34" s="145">
        <f t="shared" si="20"/>
        <v>0</v>
      </c>
      <c r="CP34" s="143"/>
      <c r="CQ34" s="145">
        <f t="shared" si="21"/>
        <v>0</v>
      </c>
      <c r="CR34" s="143">
        <f t="shared" si="34"/>
        <v>0</v>
      </c>
      <c r="CS34" s="145">
        <f t="shared" si="22"/>
        <v>0</v>
      </c>
      <c r="CT34" s="165"/>
      <c r="CV34" s="767"/>
      <c r="CW34" s="769"/>
      <c r="CX34" s="136"/>
      <c r="CY34" s="136"/>
      <c r="CZ34" s="136">
        <f t="shared" si="4"/>
        <v>0</v>
      </c>
      <c r="DA34" s="143"/>
      <c r="DB34" s="145">
        <f t="shared" si="23"/>
        <v>0</v>
      </c>
      <c r="DC34" s="143"/>
      <c r="DD34" s="145">
        <f t="shared" si="24"/>
        <v>0</v>
      </c>
      <c r="DE34" s="143"/>
      <c r="DF34" s="145">
        <f t="shared" si="25"/>
        <v>0</v>
      </c>
      <c r="DG34" s="143">
        <f t="shared" si="35"/>
        <v>0</v>
      </c>
      <c r="DH34" s="145">
        <f t="shared" si="26"/>
        <v>0</v>
      </c>
      <c r="DI34" s="165"/>
      <c r="DK34" s="767"/>
      <c r="DL34" s="769"/>
      <c r="DM34" s="136"/>
      <c r="DN34" s="136"/>
      <c r="DO34" s="136">
        <f t="shared" si="5"/>
        <v>0</v>
      </c>
      <c r="DP34" s="143"/>
      <c r="DQ34" s="145">
        <f t="shared" si="27"/>
        <v>0</v>
      </c>
      <c r="DR34" s="143"/>
      <c r="DS34" s="145">
        <f t="shared" si="28"/>
        <v>0</v>
      </c>
      <c r="DT34" s="143"/>
      <c r="DU34" s="145">
        <f t="shared" si="29"/>
        <v>0</v>
      </c>
      <c r="DV34" s="143">
        <f t="shared" si="36"/>
        <v>0</v>
      </c>
      <c r="DW34" s="145">
        <f t="shared" si="30"/>
        <v>0</v>
      </c>
      <c r="DX34" s="165"/>
    </row>
    <row r="35" spans="2:128">
      <c r="B35" s="662"/>
      <c r="C35" s="87"/>
      <c r="D35" s="87"/>
      <c r="E35" s="87"/>
      <c r="F35" s="87"/>
      <c r="G35" s="87"/>
      <c r="H35" s="12"/>
      <c r="J35" s="768"/>
      <c r="K35" s="770"/>
      <c r="L35" s="138"/>
      <c r="M35" s="139"/>
      <c r="N35" s="139">
        <f t="shared" si="49"/>
        <v>0</v>
      </c>
      <c r="O35" s="144"/>
      <c r="P35" s="146">
        <f t="shared" si="50"/>
        <v>0</v>
      </c>
      <c r="Q35" s="144"/>
      <c r="R35" s="146">
        <f t="shared" si="51"/>
        <v>0</v>
      </c>
      <c r="S35" s="144"/>
      <c r="T35" s="146">
        <f t="shared" si="52"/>
        <v>0</v>
      </c>
      <c r="U35" s="144">
        <f t="shared" si="53"/>
        <v>0</v>
      </c>
      <c r="V35" s="146">
        <f t="shared" si="54"/>
        <v>0</v>
      </c>
      <c r="W35" s="166"/>
      <c r="Y35" s="768"/>
      <c r="Z35" s="770"/>
      <c r="AA35" s="138"/>
      <c r="AB35" s="139"/>
      <c r="AC35" s="139">
        <f t="shared" si="1"/>
        <v>0</v>
      </c>
      <c r="AD35" s="144"/>
      <c r="AE35" s="146">
        <f t="shared" si="6"/>
        <v>0</v>
      </c>
      <c r="AF35" s="144"/>
      <c r="AG35" s="146">
        <f t="shared" si="7"/>
        <v>0</v>
      </c>
      <c r="AH35" s="144"/>
      <c r="AI35" s="146">
        <f t="shared" si="8"/>
        <v>0</v>
      </c>
      <c r="AJ35" s="144">
        <f t="shared" si="31"/>
        <v>0</v>
      </c>
      <c r="AK35" s="146">
        <f t="shared" si="9"/>
        <v>0</v>
      </c>
      <c r="AL35" s="166"/>
      <c r="AN35" s="768"/>
      <c r="AO35" s="770"/>
      <c r="AP35" s="138"/>
      <c r="AQ35" s="139"/>
      <c r="AR35" s="139">
        <f t="shared" si="37"/>
        <v>0</v>
      </c>
      <c r="AS35" s="144"/>
      <c r="AT35" s="146">
        <f t="shared" si="38"/>
        <v>0</v>
      </c>
      <c r="AU35" s="144"/>
      <c r="AV35" s="146">
        <f t="shared" si="39"/>
        <v>0</v>
      </c>
      <c r="AW35" s="144"/>
      <c r="AX35" s="146">
        <f t="shared" si="40"/>
        <v>0</v>
      </c>
      <c r="AY35" s="144">
        <f t="shared" si="41"/>
        <v>0</v>
      </c>
      <c r="AZ35" s="146">
        <f t="shared" si="42"/>
        <v>0</v>
      </c>
      <c r="BA35" s="166"/>
      <c r="BC35" s="768"/>
      <c r="BD35" s="770"/>
      <c r="BE35" s="138"/>
      <c r="BF35" s="139"/>
      <c r="BG35" s="139">
        <f t="shared" si="48"/>
        <v>0</v>
      </c>
      <c r="BH35" s="144"/>
      <c r="BI35" s="146">
        <f t="shared" si="43"/>
        <v>0</v>
      </c>
      <c r="BJ35" s="144"/>
      <c r="BK35" s="146">
        <f t="shared" si="44"/>
        <v>0</v>
      </c>
      <c r="BL35" s="144"/>
      <c r="BM35" s="146">
        <f t="shared" si="45"/>
        <v>0</v>
      </c>
      <c r="BN35" s="144">
        <f t="shared" si="46"/>
        <v>0</v>
      </c>
      <c r="BO35" s="146">
        <f t="shared" si="47"/>
        <v>0</v>
      </c>
      <c r="BP35" s="166"/>
      <c r="BR35" s="768"/>
      <c r="BS35" s="770"/>
      <c r="BT35" s="138"/>
      <c r="BU35" s="139"/>
      <c r="BV35" s="139">
        <f t="shared" si="14"/>
        <v>0</v>
      </c>
      <c r="BW35" s="144"/>
      <c r="BX35" s="146">
        <f t="shared" si="15"/>
        <v>0</v>
      </c>
      <c r="BY35" s="144"/>
      <c r="BZ35" s="146">
        <f t="shared" si="16"/>
        <v>0</v>
      </c>
      <c r="CA35" s="144"/>
      <c r="CB35" s="146">
        <f t="shared" si="17"/>
        <v>0</v>
      </c>
      <c r="CC35" s="144">
        <f t="shared" si="33"/>
        <v>0</v>
      </c>
      <c r="CD35" s="146">
        <f t="shared" si="18"/>
        <v>0</v>
      </c>
      <c r="CE35" s="166"/>
      <c r="CG35" s="768"/>
      <c r="CH35" s="770"/>
      <c r="CI35" s="138"/>
      <c r="CJ35" s="139"/>
      <c r="CK35" s="139">
        <f t="shared" si="3"/>
        <v>0</v>
      </c>
      <c r="CL35" s="144"/>
      <c r="CM35" s="146">
        <f t="shared" si="19"/>
        <v>0</v>
      </c>
      <c r="CN35" s="144"/>
      <c r="CO35" s="146">
        <f t="shared" si="20"/>
        <v>0</v>
      </c>
      <c r="CP35" s="144"/>
      <c r="CQ35" s="146">
        <f t="shared" si="21"/>
        <v>0</v>
      </c>
      <c r="CR35" s="144">
        <f t="shared" si="34"/>
        <v>0</v>
      </c>
      <c r="CS35" s="146">
        <f t="shared" si="22"/>
        <v>0</v>
      </c>
      <c r="CT35" s="166"/>
      <c r="CV35" s="768"/>
      <c r="CW35" s="770"/>
      <c r="CX35" s="138"/>
      <c r="CY35" s="139"/>
      <c r="CZ35" s="139">
        <f t="shared" si="4"/>
        <v>0</v>
      </c>
      <c r="DA35" s="144"/>
      <c r="DB35" s="146">
        <f t="shared" si="23"/>
        <v>0</v>
      </c>
      <c r="DC35" s="144"/>
      <c r="DD35" s="146">
        <f t="shared" si="24"/>
        <v>0</v>
      </c>
      <c r="DE35" s="144"/>
      <c r="DF35" s="146">
        <f t="shared" si="25"/>
        <v>0</v>
      </c>
      <c r="DG35" s="144">
        <f t="shared" si="35"/>
        <v>0</v>
      </c>
      <c r="DH35" s="146">
        <f t="shared" si="26"/>
        <v>0</v>
      </c>
      <c r="DI35" s="166"/>
      <c r="DK35" s="768"/>
      <c r="DL35" s="770"/>
      <c r="DM35" s="138"/>
      <c r="DN35" s="139"/>
      <c r="DO35" s="139">
        <f t="shared" si="5"/>
        <v>0</v>
      </c>
      <c r="DP35" s="144"/>
      <c r="DQ35" s="146">
        <f t="shared" si="27"/>
        <v>0</v>
      </c>
      <c r="DR35" s="144"/>
      <c r="DS35" s="146">
        <f t="shared" si="28"/>
        <v>0</v>
      </c>
      <c r="DT35" s="144"/>
      <c r="DU35" s="146">
        <f t="shared" si="29"/>
        <v>0</v>
      </c>
      <c r="DV35" s="144">
        <f t="shared" si="36"/>
        <v>0</v>
      </c>
      <c r="DW35" s="146">
        <f t="shared" si="30"/>
        <v>0</v>
      </c>
      <c r="DX35" s="166"/>
    </row>
    <row r="36" spans="2:128">
      <c r="B36" s="661"/>
      <c r="C36" s="88"/>
      <c r="D36" s="88"/>
      <c r="E36" s="88"/>
      <c r="F36" s="88"/>
      <c r="G36" s="88"/>
      <c r="H36" s="10"/>
      <c r="J36" s="767"/>
      <c r="K36" s="769"/>
      <c r="L36" s="136"/>
      <c r="M36" s="136"/>
      <c r="N36" s="136">
        <f t="shared" si="49"/>
        <v>0</v>
      </c>
      <c r="O36" s="143"/>
      <c r="P36" s="145">
        <f t="shared" si="50"/>
        <v>0</v>
      </c>
      <c r="Q36" s="143"/>
      <c r="R36" s="145">
        <f t="shared" si="51"/>
        <v>0</v>
      </c>
      <c r="S36" s="143"/>
      <c r="T36" s="145">
        <f t="shared" si="52"/>
        <v>0</v>
      </c>
      <c r="U36" s="143">
        <f t="shared" si="53"/>
        <v>0</v>
      </c>
      <c r="V36" s="145">
        <f t="shared" si="54"/>
        <v>0</v>
      </c>
      <c r="W36" s="165"/>
      <c r="Y36" s="767"/>
      <c r="Z36" s="769"/>
      <c r="AA36" s="136"/>
      <c r="AB36" s="136"/>
      <c r="AC36" s="136">
        <f t="shared" si="1"/>
        <v>0</v>
      </c>
      <c r="AD36" s="143"/>
      <c r="AE36" s="145">
        <f t="shared" si="6"/>
        <v>0</v>
      </c>
      <c r="AF36" s="143"/>
      <c r="AG36" s="145">
        <f t="shared" si="7"/>
        <v>0</v>
      </c>
      <c r="AH36" s="143"/>
      <c r="AI36" s="145">
        <f t="shared" si="8"/>
        <v>0</v>
      </c>
      <c r="AJ36" s="143">
        <f t="shared" si="31"/>
        <v>0</v>
      </c>
      <c r="AK36" s="145">
        <f t="shared" si="9"/>
        <v>0</v>
      </c>
      <c r="AL36" s="165"/>
      <c r="AN36" s="767"/>
      <c r="AO36" s="769"/>
      <c r="AP36" s="136"/>
      <c r="AQ36" s="136"/>
      <c r="AR36" s="136">
        <f t="shared" si="37"/>
        <v>0</v>
      </c>
      <c r="AS36" s="143"/>
      <c r="AT36" s="145">
        <f t="shared" si="38"/>
        <v>0</v>
      </c>
      <c r="AU36" s="143"/>
      <c r="AV36" s="145">
        <f t="shared" si="39"/>
        <v>0</v>
      </c>
      <c r="AW36" s="143"/>
      <c r="AX36" s="145">
        <f t="shared" si="40"/>
        <v>0</v>
      </c>
      <c r="AY36" s="143">
        <f t="shared" si="41"/>
        <v>0</v>
      </c>
      <c r="AZ36" s="145">
        <f t="shared" si="42"/>
        <v>0</v>
      </c>
      <c r="BA36" s="165"/>
      <c r="BC36" s="767"/>
      <c r="BD36" s="769"/>
      <c r="BE36" s="136"/>
      <c r="BF36" s="136"/>
      <c r="BG36" s="136">
        <f t="shared" si="48"/>
        <v>0</v>
      </c>
      <c r="BH36" s="143"/>
      <c r="BI36" s="145">
        <f t="shared" si="43"/>
        <v>0</v>
      </c>
      <c r="BJ36" s="143"/>
      <c r="BK36" s="145">
        <f t="shared" si="44"/>
        <v>0</v>
      </c>
      <c r="BL36" s="143"/>
      <c r="BM36" s="145">
        <f t="shared" si="45"/>
        <v>0</v>
      </c>
      <c r="BN36" s="143">
        <f t="shared" si="46"/>
        <v>0</v>
      </c>
      <c r="BO36" s="145">
        <f t="shared" si="47"/>
        <v>0</v>
      </c>
      <c r="BP36" s="165"/>
      <c r="BR36" s="767"/>
      <c r="BS36" s="769"/>
      <c r="BT36" s="136"/>
      <c r="BU36" s="136"/>
      <c r="BV36" s="136">
        <f t="shared" si="14"/>
        <v>0</v>
      </c>
      <c r="BW36" s="143"/>
      <c r="BX36" s="145">
        <f t="shared" si="15"/>
        <v>0</v>
      </c>
      <c r="BY36" s="143"/>
      <c r="BZ36" s="145">
        <f t="shared" si="16"/>
        <v>0</v>
      </c>
      <c r="CA36" s="143"/>
      <c r="CB36" s="145">
        <f t="shared" si="17"/>
        <v>0</v>
      </c>
      <c r="CC36" s="143">
        <f t="shared" si="33"/>
        <v>0</v>
      </c>
      <c r="CD36" s="145">
        <f t="shared" si="18"/>
        <v>0</v>
      </c>
      <c r="CE36" s="165"/>
      <c r="CG36" s="767"/>
      <c r="CH36" s="769"/>
      <c r="CI36" s="136"/>
      <c r="CJ36" s="136"/>
      <c r="CK36" s="136">
        <f t="shared" si="3"/>
        <v>0</v>
      </c>
      <c r="CL36" s="143"/>
      <c r="CM36" s="145">
        <f t="shared" si="19"/>
        <v>0</v>
      </c>
      <c r="CN36" s="143"/>
      <c r="CO36" s="145">
        <f t="shared" si="20"/>
        <v>0</v>
      </c>
      <c r="CP36" s="143"/>
      <c r="CQ36" s="145">
        <f t="shared" si="21"/>
        <v>0</v>
      </c>
      <c r="CR36" s="143">
        <f t="shared" si="34"/>
        <v>0</v>
      </c>
      <c r="CS36" s="145">
        <f t="shared" si="22"/>
        <v>0</v>
      </c>
      <c r="CT36" s="165"/>
      <c r="CV36" s="767"/>
      <c r="CW36" s="769"/>
      <c r="CX36" s="136"/>
      <c r="CY36" s="136"/>
      <c r="CZ36" s="136">
        <f t="shared" si="4"/>
        <v>0</v>
      </c>
      <c r="DA36" s="143"/>
      <c r="DB36" s="145">
        <f t="shared" si="23"/>
        <v>0</v>
      </c>
      <c r="DC36" s="143"/>
      <c r="DD36" s="145">
        <f t="shared" si="24"/>
        <v>0</v>
      </c>
      <c r="DE36" s="143"/>
      <c r="DF36" s="145">
        <f t="shared" si="25"/>
        <v>0</v>
      </c>
      <c r="DG36" s="143">
        <f t="shared" si="35"/>
        <v>0</v>
      </c>
      <c r="DH36" s="145">
        <f t="shared" si="26"/>
        <v>0</v>
      </c>
      <c r="DI36" s="165"/>
      <c r="DK36" s="767"/>
      <c r="DL36" s="769"/>
      <c r="DM36" s="136"/>
      <c r="DN36" s="136"/>
      <c r="DO36" s="136">
        <f t="shared" si="5"/>
        <v>0</v>
      </c>
      <c r="DP36" s="143"/>
      <c r="DQ36" s="145">
        <f t="shared" si="27"/>
        <v>0</v>
      </c>
      <c r="DR36" s="143"/>
      <c r="DS36" s="145">
        <f t="shared" si="28"/>
        <v>0</v>
      </c>
      <c r="DT36" s="143"/>
      <c r="DU36" s="145">
        <f t="shared" si="29"/>
        <v>0</v>
      </c>
      <c r="DV36" s="143">
        <f t="shared" si="36"/>
        <v>0</v>
      </c>
      <c r="DW36" s="145">
        <f t="shared" si="30"/>
        <v>0</v>
      </c>
      <c r="DX36" s="165"/>
    </row>
    <row r="37" spans="2:128">
      <c r="B37" s="662"/>
      <c r="C37" s="87"/>
      <c r="D37" s="87"/>
      <c r="E37" s="87"/>
      <c r="F37" s="87"/>
      <c r="G37" s="87"/>
      <c r="H37" s="12"/>
      <c r="J37" s="768"/>
      <c r="K37" s="770"/>
      <c r="L37" s="138"/>
      <c r="M37" s="139"/>
      <c r="N37" s="139">
        <f t="shared" si="49"/>
        <v>0</v>
      </c>
      <c r="O37" s="144"/>
      <c r="P37" s="146">
        <f t="shared" si="50"/>
        <v>0</v>
      </c>
      <c r="Q37" s="144"/>
      <c r="R37" s="146">
        <f t="shared" si="51"/>
        <v>0</v>
      </c>
      <c r="S37" s="144"/>
      <c r="T37" s="146">
        <f t="shared" si="52"/>
        <v>0</v>
      </c>
      <c r="U37" s="144">
        <f t="shared" si="53"/>
        <v>0</v>
      </c>
      <c r="V37" s="146">
        <f t="shared" si="54"/>
        <v>0</v>
      </c>
      <c r="W37" s="166"/>
      <c r="Y37" s="768"/>
      <c r="Z37" s="770"/>
      <c r="AA37" s="138"/>
      <c r="AB37" s="139"/>
      <c r="AC37" s="139">
        <f t="shared" si="1"/>
        <v>0</v>
      </c>
      <c r="AD37" s="144"/>
      <c r="AE37" s="146">
        <f t="shared" si="6"/>
        <v>0</v>
      </c>
      <c r="AF37" s="144"/>
      <c r="AG37" s="146">
        <f t="shared" si="7"/>
        <v>0</v>
      </c>
      <c r="AH37" s="144"/>
      <c r="AI37" s="146">
        <f t="shared" si="8"/>
        <v>0</v>
      </c>
      <c r="AJ37" s="144">
        <f t="shared" si="31"/>
        <v>0</v>
      </c>
      <c r="AK37" s="146">
        <f t="shared" si="9"/>
        <v>0</v>
      </c>
      <c r="AL37" s="166"/>
      <c r="AN37" s="768"/>
      <c r="AO37" s="770"/>
      <c r="AP37" s="138"/>
      <c r="AQ37" s="139"/>
      <c r="AR37" s="139">
        <f t="shared" si="37"/>
        <v>0</v>
      </c>
      <c r="AS37" s="144"/>
      <c r="AT37" s="146">
        <f t="shared" si="38"/>
        <v>0</v>
      </c>
      <c r="AU37" s="144"/>
      <c r="AV37" s="146">
        <f t="shared" si="39"/>
        <v>0</v>
      </c>
      <c r="AW37" s="144"/>
      <c r="AX37" s="146">
        <f t="shared" si="40"/>
        <v>0</v>
      </c>
      <c r="AY37" s="144">
        <f t="shared" si="41"/>
        <v>0</v>
      </c>
      <c r="AZ37" s="146">
        <f t="shared" si="42"/>
        <v>0</v>
      </c>
      <c r="BA37" s="166"/>
      <c r="BC37" s="768"/>
      <c r="BD37" s="770"/>
      <c r="BE37" s="138"/>
      <c r="BF37" s="139"/>
      <c r="BG37" s="139">
        <f t="shared" si="48"/>
        <v>0</v>
      </c>
      <c r="BH37" s="144"/>
      <c r="BI37" s="146">
        <f t="shared" si="43"/>
        <v>0</v>
      </c>
      <c r="BJ37" s="144"/>
      <c r="BK37" s="146">
        <f t="shared" si="44"/>
        <v>0</v>
      </c>
      <c r="BL37" s="144"/>
      <c r="BM37" s="146">
        <f t="shared" si="45"/>
        <v>0</v>
      </c>
      <c r="BN37" s="144">
        <f t="shared" si="46"/>
        <v>0</v>
      </c>
      <c r="BO37" s="146">
        <f t="shared" si="47"/>
        <v>0</v>
      </c>
      <c r="BP37" s="166"/>
      <c r="BR37" s="768"/>
      <c r="BS37" s="770"/>
      <c r="BT37" s="138"/>
      <c r="BU37" s="139"/>
      <c r="BV37" s="139">
        <f t="shared" si="14"/>
        <v>0</v>
      </c>
      <c r="BW37" s="144"/>
      <c r="BX37" s="146">
        <f t="shared" si="15"/>
        <v>0</v>
      </c>
      <c r="BY37" s="144"/>
      <c r="BZ37" s="146">
        <f t="shared" si="16"/>
        <v>0</v>
      </c>
      <c r="CA37" s="144"/>
      <c r="CB37" s="146">
        <f t="shared" si="17"/>
        <v>0</v>
      </c>
      <c r="CC37" s="144">
        <f t="shared" si="33"/>
        <v>0</v>
      </c>
      <c r="CD37" s="146">
        <f t="shared" si="18"/>
        <v>0</v>
      </c>
      <c r="CE37" s="166"/>
      <c r="CG37" s="768"/>
      <c r="CH37" s="770"/>
      <c r="CI37" s="138"/>
      <c r="CJ37" s="139"/>
      <c r="CK37" s="139">
        <f t="shared" si="3"/>
        <v>0</v>
      </c>
      <c r="CL37" s="144"/>
      <c r="CM37" s="146">
        <f t="shared" si="19"/>
        <v>0</v>
      </c>
      <c r="CN37" s="144"/>
      <c r="CO37" s="146">
        <f t="shared" si="20"/>
        <v>0</v>
      </c>
      <c r="CP37" s="144"/>
      <c r="CQ37" s="146">
        <f t="shared" si="21"/>
        <v>0</v>
      </c>
      <c r="CR37" s="144">
        <f t="shared" si="34"/>
        <v>0</v>
      </c>
      <c r="CS37" s="146">
        <f t="shared" si="22"/>
        <v>0</v>
      </c>
      <c r="CT37" s="166"/>
      <c r="CV37" s="768"/>
      <c r="CW37" s="770"/>
      <c r="CX37" s="138"/>
      <c r="CY37" s="139"/>
      <c r="CZ37" s="139">
        <f t="shared" si="4"/>
        <v>0</v>
      </c>
      <c r="DA37" s="144"/>
      <c r="DB37" s="146">
        <f t="shared" si="23"/>
        <v>0</v>
      </c>
      <c r="DC37" s="144"/>
      <c r="DD37" s="146">
        <f t="shared" si="24"/>
        <v>0</v>
      </c>
      <c r="DE37" s="144"/>
      <c r="DF37" s="146">
        <f t="shared" si="25"/>
        <v>0</v>
      </c>
      <c r="DG37" s="144">
        <f t="shared" si="35"/>
        <v>0</v>
      </c>
      <c r="DH37" s="146">
        <f t="shared" si="26"/>
        <v>0</v>
      </c>
      <c r="DI37" s="166"/>
      <c r="DK37" s="768"/>
      <c r="DL37" s="770"/>
      <c r="DM37" s="138"/>
      <c r="DN37" s="139"/>
      <c r="DO37" s="139">
        <f t="shared" si="5"/>
        <v>0</v>
      </c>
      <c r="DP37" s="144"/>
      <c r="DQ37" s="146">
        <f t="shared" si="27"/>
        <v>0</v>
      </c>
      <c r="DR37" s="144"/>
      <c r="DS37" s="146">
        <f t="shared" si="28"/>
        <v>0</v>
      </c>
      <c r="DT37" s="144"/>
      <c r="DU37" s="146">
        <f t="shared" si="29"/>
        <v>0</v>
      </c>
      <c r="DV37" s="144">
        <f t="shared" si="36"/>
        <v>0</v>
      </c>
      <c r="DW37" s="146">
        <f t="shared" si="30"/>
        <v>0</v>
      </c>
      <c r="DX37" s="166"/>
    </row>
    <row r="38" spans="2:128">
      <c r="B38" s="661"/>
      <c r="C38" s="88"/>
      <c r="D38" s="88"/>
      <c r="E38" s="88"/>
      <c r="F38" s="88"/>
      <c r="G38" s="88"/>
      <c r="H38" s="10"/>
      <c r="J38" s="767"/>
      <c r="K38" s="769"/>
      <c r="L38" s="136"/>
      <c r="M38" s="136"/>
      <c r="N38" s="136">
        <f t="shared" si="49"/>
        <v>0</v>
      </c>
      <c r="O38" s="143"/>
      <c r="P38" s="145">
        <f t="shared" si="50"/>
        <v>0</v>
      </c>
      <c r="Q38" s="143"/>
      <c r="R38" s="145">
        <f t="shared" si="51"/>
        <v>0</v>
      </c>
      <c r="S38" s="143"/>
      <c r="T38" s="145">
        <f t="shared" si="52"/>
        <v>0</v>
      </c>
      <c r="U38" s="143">
        <f t="shared" si="53"/>
        <v>0</v>
      </c>
      <c r="V38" s="145">
        <f t="shared" si="54"/>
        <v>0</v>
      </c>
      <c r="W38" s="165"/>
      <c r="Y38" s="767"/>
      <c r="Z38" s="769"/>
      <c r="AA38" s="136"/>
      <c r="AB38" s="136"/>
      <c r="AC38" s="136">
        <f t="shared" si="1"/>
        <v>0</v>
      </c>
      <c r="AD38" s="143"/>
      <c r="AE38" s="145">
        <f t="shared" si="6"/>
        <v>0</v>
      </c>
      <c r="AF38" s="143"/>
      <c r="AG38" s="145">
        <f t="shared" si="7"/>
        <v>0</v>
      </c>
      <c r="AH38" s="143"/>
      <c r="AI38" s="145">
        <f t="shared" si="8"/>
        <v>0</v>
      </c>
      <c r="AJ38" s="143">
        <f t="shared" si="31"/>
        <v>0</v>
      </c>
      <c r="AK38" s="145">
        <f t="shared" si="9"/>
        <v>0</v>
      </c>
      <c r="AL38" s="165"/>
      <c r="AN38" s="767"/>
      <c r="AO38" s="769"/>
      <c r="AP38" s="136"/>
      <c r="AQ38" s="136"/>
      <c r="AR38" s="136">
        <f t="shared" si="37"/>
        <v>0</v>
      </c>
      <c r="AS38" s="143"/>
      <c r="AT38" s="145">
        <f t="shared" si="38"/>
        <v>0</v>
      </c>
      <c r="AU38" s="143"/>
      <c r="AV38" s="145">
        <f t="shared" si="39"/>
        <v>0</v>
      </c>
      <c r="AW38" s="143"/>
      <c r="AX38" s="145">
        <f t="shared" si="40"/>
        <v>0</v>
      </c>
      <c r="AY38" s="143">
        <f t="shared" si="41"/>
        <v>0</v>
      </c>
      <c r="AZ38" s="145">
        <f t="shared" si="42"/>
        <v>0</v>
      </c>
      <c r="BA38" s="165"/>
      <c r="BC38" s="767"/>
      <c r="BD38" s="769"/>
      <c r="BE38" s="136"/>
      <c r="BF38" s="136"/>
      <c r="BG38" s="136">
        <f t="shared" si="48"/>
        <v>0</v>
      </c>
      <c r="BH38" s="143"/>
      <c r="BI38" s="145">
        <f t="shared" si="43"/>
        <v>0</v>
      </c>
      <c r="BJ38" s="143"/>
      <c r="BK38" s="145">
        <f t="shared" si="44"/>
        <v>0</v>
      </c>
      <c r="BL38" s="143"/>
      <c r="BM38" s="145">
        <f t="shared" si="45"/>
        <v>0</v>
      </c>
      <c r="BN38" s="143">
        <f t="shared" si="46"/>
        <v>0</v>
      </c>
      <c r="BO38" s="145">
        <f t="shared" si="47"/>
        <v>0</v>
      </c>
      <c r="BP38" s="165"/>
      <c r="BR38" s="767"/>
      <c r="BS38" s="769"/>
      <c r="BT38" s="136"/>
      <c r="BU38" s="136"/>
      <c r="BV38" s="136">
        <f t="shared" si="14"/>
        <v>0</v>
      </c>
      <c r="BW38" s="143"/>
      <c r="BX38" s="145">
        <f t="shared" si="15"/>
        <v>0</v>
      </c>
      <c r="BY38" s="143"/>
      <c r="BZ38" s="145">
        <f t="shared" si="16"/>
        <v>0</v>
      </c>
      <c r="CA38" s="143"/>
      <c r="CB38" s="145">
        <f t="shared" si="17"/>
        <v>0</v>
      </c>
      <c r="CC38" s="143">
        <f t="shared" si="33"/>
        <v>0</v>
      </c>
      <c r="CD38" s="145">
        <f t="shared" si="18"/>
        <v>0</v>
      </c>
      <c r="CE38" s="165"/>
      <c r="CG38" s="767"/>
      <c r="CH38" s="769"/>
      <c r="CI38" s="136"/>
      <c r="CJ38" s="136"/>
      <c r="CK38" s="136">
        <f t="shared" si="3"/>
        <v>0</v>
      </c>
      <c r="CL38" s="143"/>
      <c r="CM38" s="145">
        <f t="shared" si="19"/>
        <v>0</v>
      </c>
      <c r="CN38" s="143"/>
      <c r="CO38" s="145">
        <f t="shared" si="20"/>
        <v>0</v>
      </c>
      <c r="CP38" s="143"/>
      <c r="CQ38" s="145">
        <f t="shared" si="21"/>
        <v>0</v>
      </c>
      <c r="CR38" s="143">
        <f t="shared" si="34"/>
        <v>0</v>
      </c>
      <c r="CS38" s="145">
        <f t="shared" si="22"/>
        <v>0</v>
      </c>
      <c r="CT38" s="165"/>
      <c r="CV38" s="767"/>
      <c r="CW38" s="769"/>
      <c r="CX38" s="136"/>
      <c r="CY38" s="136"/>
      <c r="CZ38" s="136">
        <f t="shared" si="4"/>
        <v>0</v>
      </c>
      <c r="DA38" s="143"/>
      <c r="DB38" s="145">
        <f t="shared" si="23"/>
        <v>0</v>
      </c>
      <c r="DC38" s="143"/>
      <c r="DD38" s="145">
        <f t="shared" si="24"/>
        <v>0</v>
      </c>
      <c r="DE38" s="143"/>
      <c r="DF38" s="145">
        <f t="shared" si="25"/>
        <v>0</v>
      </c>
      <c r="DG38" s="143">
        <f t="shared" si="35"/>
        <v>0</v>
      </c>
      <c r="DH38" s="145">
        <f t="shared" si="26"/>
        <v>0</v>
      </c>
      <c r="DI38" s="165"/>
      <c r="DK38" s="767"/>
      <c r="DL38" s="769"/>
      <c r="DM38" s="136"/>
      <c r="DN38" s="136"/>
      <c r="DO38" s="136">
        <f t="shared" si="5"/>
        <v>0</v>
      </c>
      <c r="DP38" s="143"/>
      <c r="DQ38" s="145">
        <f t="shared" si="27"/>
        <v>0</v>
      </c>
      <c r="DR38" s="143"/>
      <c r="DS38" s="145">
        <f t="shared" si="28"/>
        <v>0</v>
      </c>
      <c r="DT38" s="143"/>
      <c r="DU38" s="145">
        <f t="shared" si="29"/>
        <v>0</v>
      </c>
      <c r="DV38" s="143">
        <f t="shared" si="36"/>
        <v>0</v>
      </c>
      <c r="DW38" s="145">
        <f t="shared" si="30"/>
        <v>0</v>
      </c>
      <c r="DX38" s="165"/>
    </row>
    <row r="39" spans="2:128">
      <c r="B39" s="662"/>
      <c r="C39" s="87"/>
      <c r="D39" s="87"/>
      <c r="E39" s="87"/>
      <c r="F39" s="87"/>
      <c r="G39" s="87"/>
      <c r="H39" s="12"/>
      <c r="J39" s="768"/>
      <c r="K39" s="770"/>
      <c r="L39" s="138"/>
      <c r="M39" s="139"/>
      <c r="N39" s="139">
        <f t="shared" si="49"/>
        <v>0</v>
      </c>
      <c r="O39" s="144"/>
      <c r="P39" s="146">
        <f t="shared" si="50"/>
        <v>0</v>
      </c>
      <c r="Q39" s="144"/>
      <c r="R39" s="146">
        <f t="shared" si="51"/>
        <v>0</v>
      </c>
      <c r="S39" s="144"/>
      <c r="T39" s="146">
        <f t="shared" si="52"/>
        <v>0</v>
      </c>
      <c r="U39" s="144">
        <f t="shared" si="53"/>
        <v>0</v>
      </c>
      <c r="V39" s="146">
        <f t="shared" si="54"/>
        <v>0</v>
      </c>
      <c r="W39" s="166"/>
      <c r="Y39" s="768"/>
      <c r="Z39" s="770"/>
      <c r="AA39" s="138"/>
      <c r="AB39" s="139"/>
      <c r="AC39" s="139">
        <f t="shared" si="1"/>
        <v>0</v>
      </c>
      <c r="AD39" s="144"/>
      <c r="AE39" s="146">
        <f t="shared" si="6"/>
        <v>0</v>
      </c>
      <c r="AF39" s="144"/>
      <c r="AG39" s="146">
        <f t="shared" si="7"/>
        <v>0</v>
      </c>
      <c r="AH39" s="144"/>
      <c r="AI39" s="146">
        <f t="shared" si="8"/>
        <v>0</v>
      </c>
      <c r="AJ39" s="144">
        <f t="shared" si="31"/>
        <v>0</v>
      </c>
      <c r="AK39" s="146">
        <f t="shared" si="9"/>
        <v>0</v>
      </c>
      <c r="AL39" s="166"/>
      <c r="AN39" s="768"/>
      <c r="AO39" s="770"/>
      <c r="AP39" s="138"/>
      <c r="AQ39" s="139"/>
      <c r="AR39" s="139">
        <f t="shared" si="37"/>
        <v>0</v>
      </c>
      <c r="AS39" s="144"/>
      <c r="AT39" s="146">
        <f t="shared" si="38"/>
        <v>0</v>
      </c>
      <c r="AU39" s="144"/>
      <c r="AV39" s="146">
        <f t="shared" si="39"/>
        <v>0</v>
      </c>
      <c r="AW39" s="144"/>
      <c r="AX39" s="146">
        <f t="shared" si="40"/>
        <v>0</v>
      </c>
      <c r="AY39" s="144">
        <f t="shared" si="41"/>
        <v>0</v>
      </c>
      <c r="AZ39" s="146">
        <f t="shared" si="42"/>
        <v>0</v>
      </c>
      <c r="BA39" s="166"/>
      <c r="BC39" s="768"/>
      <c r="BD39" s="770"/>
      <c r="BE39" s="138"/>
      <c r="BF39" s="139"/>
      <c r="BG39" s="139">
        <f t="shared" si="48"/>
        <v>0</v>
      </c>
      <c r="BH39" s="144"/>
      <c r="BI39" s="146">
        <f t="shared" si="43"/>
        <v>0</v>
      </c>
      <c r="BJ39" s="144"/>
      <c r="BK39" s="146">
        <f t="shared" si="44"/>
        <v>0</v>
      </c>
      <c r="BL39" s="144"/>
      <c r="BM39" s="146">
        <f t="shared" si="45"/>
        <v>0</v>
      </c>
      <c r="BN39" s="144">
        <f t="shared" si="46"/>
        <v>0</v>
      </c>
      <c r="BO39" s="146">
        <f t="shared" si="47"/>
        <v>0</v>
      </c>
      <c r="BP39" s="166"/>
      <c r="BR39" s="768"/>
      <c r="BS39" s="770"/>
      <c r="BT39" s="138"/>
      <c r="BU39" s="139"/>
      <c r="BV39" s="139">
        <f t="shared" si="14"/>
        <v>0</v>
      </c>
      <c r="BW39" s="144"/>
      <c r="BX39" s="146">
        <f t="shared" si="15"/>
        <v>0</v>
      </c>
      <c r="BY39" s="144"/>
      <c r="BZ39" s="146">
        <f t="shared" si="16"/>
        <v>0</v>
      </c>
      <c r="CA39" s="144"/>
      <c r="CB39" s="146">
        <f t="shared" si="17"/>
        <v>0</v>
      </c>
      <c r="CC39" s="144">
        <f t="shared" si="33"/>
        <v>0</v>
      </c>
      <c r="CD39" s="146">
        <f t="shared" si="18"/>
        <v>0</v>
      </c>
      <c r="CE39" s="166"/>
      <c r="CG39" s="768"/>
      <c r="CH39" s="770"/>
      <c r="CI39" s="138"/>
      <c r="CJ39" s="139"/>
      <c r="CK39" s="139">
        <f t="shared" si="3"/>
        <v>0</v>
      </c>
      <c r="CL39" s="144"/>
      <c r="CM39" s="146">
        <f t="shared" si="19"/>
        <v>0</v>
      </c>
      <c r="CN39" s="144"/>
      <c r="CO39" s="146">
        <f t="shared" si="20"/>
        <v>0</v>
      </c>
      <c r="CP39" s="144"/>
      <c r="CQ39" s="146">
        <f t="shared" si="21"/>
        <v>0</v>
      </c>
      <c r="CR39" s="144">
        <f t="shared" si="34"/>
        <v>0</v>
      </c>
      <c r="CS39" s="146">
        <f t="shared" si="22"/>
        <v>0</v>
      </c>
      <c r="CT39" s="166"/>
      <c r="CV39" s="768"/>
      <c r="CW39" s="770"/>
      <c r="CX39" s="138"/>
      <c r="CY39" s="139"/>
      <c r="CZ39" s="139">
        <f t="shared" si="4"/>
        <v>0</v>
      </c>
      <c r="DA39" s="144"/>
      <c r="DB39" s="146">
        <f t="shared" si="23"/>
        <v>0</v>
      </c>
      <c r="DC39" s="144"/>
      <c r="DD39" s="146">
        <f t="shared" si="24"/>
        <v>0</v>
      </c>
      <c r="DE39" s="144"/>
      <c r="DF39" s="146">
        <f t="shared" si="25"/>
        <v>0</v>
      </c>
      <c r="DG39" s="144">
        <f t="shared" si="35"/>
        <v>0</v>
      </c>
      <c r="DH39" s="146">
        <f t="shared" si="26"/>
        <v>0</v>
      </c>
      <c r="DI39" s="166"/>
      <c r="DK39" s="768"/>
      <c r="DL39" s="770"/>
      <c r="DM39" s="138"/>
      <c r="DN39" s="139"/>
      <c r="DO39" s="139">
        <f t="shared" si="5"/>
        <v>0</v>
      </c>
      <c r="DP39" s="144"/>
      <c r="DQ39" s="146">
        <f t="shared" si="27"/>
        <v>0</v>
      </c>
      <c r="DR39" s="144"/>
      <c r="DS39" s="146">
        <f t="shared" si="28"/>
        <v>0</v>
      </c>
      <c r="DT39" s="144"/>
      <c r="DU39" s="146">
        <f t="shared" si="29"/>
        <v>0</v>
      </c>
      <c r="DV39" s="144">
        <f t="shared" si="36"/>
        <v>0</v>
      </c>
      <c r="DW39" s="146">
        <f t="shared" si="30"/>
        <v>0</v>
      </c>
      <c r="DX39" s="166"/>
    </row>
    <row r="40" spans="2:128">
      <c r="B40" s="661"/>
      <c r="C40" s="88"/>
      <c r="D40" s="88"/>
      <c r="E40" s="88"/>
      <c r="F40" s="88"/>
      <c r="G40" s="88"/>
      <c r="H40" s="10"/>
      <c r="J40" s="767"/>
      <c r="K40" s="769"/>
      <c r="L40" s="136"/>
      <c r="M40" s="136"/>
      <c r="N40" s="136">
        <f t="shared" si="49"/>
        <v>0</v>
      </c>
      <c r="O40" s="143"/>
      <c r="P40" s="145">
        <f t="shared" si="50"/>
        <v>0</v>
      </c>
      <c r="Q40" s="143"/>
      <c r="R40" s="145">
        <f t="shared" si="51"/>
        <v>0</v>
      </c>
      <c r="S40" s="143"/>
      <c r="T40" s="145">
        <f t="shared" si="52"/>
        <v>0</v>
      </c>
      <c r="U40" s="143">
        <f t="shared" si="53"/>
        <v>0</v>
      </c>
      <c r="V40" s="145">
        <f t="shared" si="54"/>
        <v>0</v>
      </c>
      <c r="W40" s="165"/>
      <c r="Y40" s="767"/>
      <c r="Z40" s="769"/>
      <c r="AA40" s="136"/>
      <c r="AB40" s="136"/>
      <c r="AC40" s="136">
        <f t="shared" si="1"/>
        <v>0</v>
      </c>
      <c r="AD40" s="143"/>
      <c r="AE40" s="145">
        <f t="shared" si="6"/>
        <v>0</v>
      </c>
      <c r="AF40" s="143"/>
      <c r="AG40" s="145">
        <f t="shared" si="7"/>
        <v>0</v>
      </c>
      <c r="AH40" s="143"/>
      <c r="AI40" s="145">
        <f t="shared" si="8"/>
        <v>0</v>
      </c>
      <c r="AJ40" s="143">
        <f t="shared" si="31"/>
        <v>0</v>
      </c>
      <c r="AK40" s="145">
        <f t="shared" si="9"/>
        <v>0</v>
      </c>
      <c r="AL40" s="165"/>
      <c r="AN40" s="767"/>
      <c r="AO40" s="769"/>
      <c r="AP40" s="136"/>
      <c r="AQ40" s="136"/>
      <c r="AR40" s="136">
        <f t="shared" si="37"/>
        <v>0</v>
      </c>
      <c r="AS40" s="143"/>
      <c r="AT40" s="145">
        <f t="shared" si="38"/>
        <v>0</v>
      </c>
      <c r="AU40" s="143"/>
      <c r="AV40" s="145">
        <f t="shared" si="39"/>
        <v>0</v>
      </c>
      <c r="AW40" s="143"/>
      <c r="AX40" s="145">
        <f t="shared" si="40"/>
        <v>0</v>
      </c>
      <c r="AY40" s="143">
        <f t="shared" si="41"/>
        <v>0</v>
      </c>
      <c r="AZ40" s="145">
        <f t="shared" si="42"/>
        <v>0</v>
      </c>
      <c r="BA40" s="165"/>
      <c r="BC40" s="767"/>
      <c r="BD40" s="769"/>
      <c r="BE40" s="136"/>
      <c r="BF40" s="136"/>
      <c r="BG40" s="136">
        <f t="shared" si="48"/>
        <v>0</v>
      </c>
      <c r="BH40" s="143"/>
      <c r="BI40" s="145">
        <f t="shared" si="43"/>
        <v>0</v>
      </c>
      <c r="BJ40" s="143"/>
      <c r="BK40" s="145">
        <f t="shared" si="44"/>
        <v>0</v>
      </c>
      <c r="BL40" s="143"/>
      <c r="BM40" s="145">
        <f t="shared" si="45"/>
        <v>0</v>
      </c>
      <c r="BN40" s="143">
        <f t="shared" si="46"/>
        <v>0</v>
      </c>
      <c r="BO40" s="145">
        <f t="shared" si="47"/>
        <v>0</v>
      </c>
      <c r="BP40" s="165"/>
      <c r="BR40" s="767"/>
      <c r="BS40" s="769"/>
      <c r="BT40" s="136"/>
      <c r="BU40" s="136"/>
      <c r="BV40" s="136">
        <f t="shared" si="14"/>
        <v>0</v>
      </c>
      <c r="BW40" s="143"/>
      <c r="BX40" s="145">
        <f t="shared" si="15"/>
        <v>0</v>
      </c>
      <c r="BY40" s="143"/>
      <c r="BZ40" s="145">
        <f t="shared" si="16"/>
        <v>0</v>
      </c>
      <c r="CA40" s="143"/>
      <c r="CB40" s="145">
        <f t="shared" si="17"/>
        <v>0</v>
      </c>
      <c r="CC40" s="143">
        <f t="shared" si="33"/>
        <v>0</v>
      </c>
      <c r="CD40" s="145">
        <f t="shared" si="18"/>
        <v>0</v>
      </c>
      <c r="CE40" s="165"/>
      <c r="CG40" s="767"/>
      <c r="CH40" s="769"/>
      <c r="CI40" s="136"/>
      <c r="CJ40" s="136"/>
      <c r="CK40" s="136">
        <f t="shared" si="3"/>
        <v>0</v>
      </c>
      <c r="CL40" s="143"/>
      <c r="CM40" s="145">
        <f t="shared" si="19"/>
        <v>0</v>
      </c>
      <c r="CN40" s="143"/>
      <c r="CO40" s="145">
        <f t="shared" si="20"/>
        <v>0</v>
      </c>
      <c r="CP40" s="143"/>
      <c r="CQ40" s="145">
        <f t="shared" si="21"/>
        <v>0</v>
      </c>
      <c r="CR40" s="143">
        <f t="shared" si="34"/>
        <v>0</v>
      </c>
      <c r="CS40" s="145">
        <f t="shared" si="22"/>
        <v>0</v>
      </c>
      <c r="CT40" s="165"/>
      <c r="CV40" s="767"/>
      <c r="CW40" s="769"/>
      <c r="CX40" s="136"/>
      <c r="CY40" s="136"/>
      <c r="CZ40" s="136">
        <f t="shared" si="4"/>
        <v>0</v>
      </c>
      <c r="DA40" s="143"/>
      <c r="DB40" s="145">
        <f t="shared" si="23"/>
        <v>0</v>
      </c>
      <c r="DC40" s="143"/>
      <c r="DD40" s="145">
        <f t="shared" si="24"/>
        <v>0</v>
      </c>
      <c r="DE40" s="143"/>
      <c r="DF40" s="145">
        <f t="shared" si="25"/>
        <v>0</v>
      </c>
      <c r="DG40" s="143">
        <f t="shared" si="35"/>
        <v>0</v>
      </c>
      <c r="DH40" s="145">
        <f t="shared" si="26"/>
        <v>0</v>
      </c>
      <c r="DI40" s="165"/>
      <c r="DK40" s="767"/>
      <c r="DL40" s="769"/>
      <c r="DM40" s="136"/>
      <c r="DN40" s="136"/>
      <c r="DO40" s="136">
        <f t="shared" si="5"/>
        <v>0</v>
      </c>
      <c r="DP40" s="143"/>
      <c r="DQ40" s="145">
        <f t="shared" si="27"/>
        <v>0</v>
      </c>
      <c r="DR40" s="143"/>
      <c r="DS40" s="145">
        <f t="shared" si="28"/>
        <v>0</v>
      </c>
      <c r="DT40" s="143"/>
      <c r="DU40" s="145">
        <f t="shared" si="29"/>
        <v>0</v>
      </c>
      <c r="DV40" s="143">
        <f t="shared" si="36"/>
        <v>0</v>
      </c>
      <c r="DW40" s="145">
        <f t="shared" si="30"/>
        <v>0</v>
      </c>
      <c r="DX40" s="165"/>
    </row>
    <row r="41" spans="2:128">
      <c r="B41" s="662"/>
      <c r="C41" s="87"/>
      <c r="D41" s="87"/>
      <c r="E41" s="87"/>
      <c r="F41" s="87"/>
      <c r="G41" s="87"/>
      <c r="H41" s="12"/>
      <c r="J41" s="768"/>
      <c r="K41" s="770"/>
      <c r="L41" s="138"/>
      <c r="M41" s="139"/>
      <c r="N41" s="139">
        <f t="shared" si="49"/>
        <v>0</v>
      </c>
      <c r="O41" s="144"/>
      <c r="P41" s="146">
        <f t="shared" si="50"/>
        <v>0</v>
      </c>
      <c r="Q41" s="144"/>
      <c r="R41" s="146">
        <f t="shared" si="51"/>
        <v>0</v>
      </c>
      <c r="S41" s="144"/>
      <c r="T41" s="146">
        <f t="shared" si="52"/>
        <v>0</v>
      </c>
      <c r="U41" s="144">
        <f t="shared" si="53"/>
        <v>0</v>
      </c>
      <c r="V41" s="146">
        <f t="shared" si="54"/>
        <v>0</v>
      </c>
      <c r="W41" s="166"/>
      <c r="Y41" s="768"/>
      <c r="Z41" s="770"/>
      <c r="AA41" s="138"/>
      <c r="AB41" s="139"/>
      <c r="AC41" s="139">
        <f t="shared" si="1"/>
        <v>0</v>
      </c>
      <c r="AD41" s="144"/>
      <c r="AE41" s="146">
        <f t="shared" si="6"/>
        <v>0</v>
      </c>
      <c r="AF41" s="144"/>
      <c r="AG41" s="146">
        <f t="shared" si="7"/>
        <v>0</v>
      </c>
      <c r="AH41" s="144"/>
      <c r="AI41" s="146">
        <f t="shared" si="8"/>
        <v>0</v>
      </c>
      <c r="AJ41" s="144">
        <f t="shared" si="31"/>
        <v>0</v>
      </c>
      <c r="AK41" s="146">
        <f t="shared" si="9"/>
        <v>0</v>
      </c>
      <c r="AL41" s="166"/>
      <c r="AN41" s="768"/>
      <c r="AO41" s="770"/>
      <c r="AP41" s="138"/>
      <c r="AQ41" s="139"/>
      <c r="AR41" s="139">
        <f t="shared" si="37"/>
        <v>0</v>
      </c>
      <c r="AS41" s="144"/>
      <c r="AT41" s="146">
        <f t="shared" si="38"/>
        <v>0</v>
      </c>
      <c r="AU41" s="144"/>
      <c r="AV41" s="146">
        <f t="shared" si="39"/>
        <v>0</v>
      </c>
      <c r="AW41" s="144"/>
      <c r="AX41" s="146">
        <f t="shared" si="40"/>
        <v>0</v>
      </c>
      <c r="AY41" s="144">
        <f t="shared" si="41"/>
        <v>0</v>
      </c>
      <c r="AZ41" s="146">
        <f t="shared" si="42"/>
        <v>0</v>
      </c>
      <c r="BA41" s="166"/>
      <c r="BC41" s="768"/>
      <c r="BD41" s="770"/>
      <c r="BE41" s="138"/>
      <c r="BF41" s="139"/>
      <c r="BG41" s="139">
        <f t="shared" si="48"/>
        <v>0</v>
      </c>
      <c r="BH41" s="144"/>
      <c r="BI41" s="146">
        <f t="shared" si="43"/>
        <v>0</v>
      </c>
      <c r="BJ41" s="144"/>
      <c r="BK41" s="146">
        <f t="shared" si="44"/>
        <v>0</v>
      </c>
      <c r="BL41" s="144"/>
      <c r="BM41" s="146">
        <f t="shared" si="45"/>
        <v>0</v>
      </c>
      <c r="BN41" s="144">
        <f t="shared" si="46"/>
        <v>0</v>
      </c>
      <c r="BO41" s="146">
        <f t="shared" si="47"/>
        <v>0</v>
      </c>
      <c r="BP41" s="166"/>
      <c r="BR41" s="768"/>
      <c r="BS41" s="770"/>
      <c r="BT41" s="138"/>
      <c r="BU41" s="139"/>
      <c r="BV41" s="139">
        <f t="shared" si="14"/>
        <v>0</v>
      </c>
      <c r="BW41" s="144"/>
      <c r="BX41" s="146">
        <f t="shared" si="15"/>
        <v>0</v>
      </c>
      <c r="BY41" s="144"/>
      <c r="BZ41" s="146">
        <f t="shared" si="16"/>
        <v>0</v>
      </c>
      <c r="CA41" s="144"/>
      <c r="CB41" s="146">
        <f t="shared" si="17"/>
        <v>0</v>
      </c>
      <c r="CC41" s="144">
        <f t="shared" si="33"/>
        <v>0</v>
      </c>
      <c r="CD41" s="146">
        <f t="shared" si="18"/>
        <v>0</v>
      </c>
      <c r="CE41" s="166"/>
      <c r="CG41" s="768"/>
      <c r="CH41" s="770"/>
      <c r="CI41" s="138"/>
      <c r="CJ41" s="139"/>
      <c r="CK41" s="139">
        <f t="shared" si="3"/>
        <v>0</v>
      </c>
      <c r="CL41" s="144"/>
      <c r="CM41" s="146">
        <f t="shared" si="19"/>
        <v>0</v>
      </c>
      <c r="CN41" s="144"/>
      <c r="CO41" s="146">
        <f t="shared" si="20"/>
        <v>0</v>
      </c>
      <c r="CP41" s="144"/>
      <c r="CQ41" s="146">
        <f t="shared" si="21"/>
        <v>0</v>
      </c>
      <c r="CR41" s="144">
        <f t="shared" si="34"/>
        <v>0</v>
      </c>
      <c r="CS41" s="146">
        <f t="shared" si="22"/>
        <v>0</v>
      </c>
      <c r="CT41" s="166"/>
      <c r="CV41" s="768"/>
      <c r="CW41" s="770"/>
      <c r="CX41" s="138"/>
      <c r="CY41" s="139"/>
      <c r="CZ41" s="139">
        <f t="shared" si="4"/>
        <v>0</v>
      </c>
      <c r="DA41" s="144"/>
      <c r="DB41" s="146">
        <f t="shared" si="23"/>
        <v>0</v>
      </c>
      <c r="DC41" s="144"/>
      <c r="DD41" s="146">
        <f t="shared" si="24"/>
        <v>0</v>
      </c>
      <c r="DE41" s="144"/>
      <c r="DF41" s="146">
        <f t="shared" si="25"/>
        <v>0</v>
      </c>
      <c r="DG41" s="144">
        <f t="shared" si="35"/>
        <v>0</v>
      </c>
      <c r="DH41" s="146">
        <f t="shared" si="26"/>
        <v>0</v>
      </c>
      <c r="DI41" s="166"/>
      <c r="DK41" s="768"/>
      <c r="DL41" s="770"/>
      <c r="DM41" s="138"/>
      <c r="DN41" s="139"/>
      <c r="DO41" s="139">
        <f t="shared" si="5"/>
        <v>0</v>
      </c>
      <c r="DP41" s="144"/>
      <c r="DQ41" s="146">
        <f t="shared" si="27"/>
        <v>0</v>
      </c>
      <c r="DR41" s="144"/>
      <c r="DS41" s="146">
        <f t="shared" si="28"/>
        <v>0</v>
      </c>
      <c r="DT41" s="144"/>
      <c r="DU41" s="146">
        <f t="shared" si="29"/>
        <v>0</v>
      </c>
      <c r="DV41" s="144">
        <f t="shared" si="36"/>
        <v>0</v>
      </c>
      <c r="DW41" s="146">
        <f t="shared" si="30"/>
        <v>0</v>
      </c>
      <c r="DX41" s="166"/>
    </row>
    <row r="42" spans="2:128">
      <c r="B42" s="692" t="s">
        <v>79</v>
      </c>
      <c r="C42" s="88">
        <f>+SUM(C6,C8,C10,C12,C14,C16,C18,C20,C22,C24,C26,C28,C30,C32,C34,C36,C38,C40)</f>
        <v>0</v>
      </c>
      <c r="D42" s="88">
        <f t="shared" ref="D42:G43" si="55">+SUM(D6,D8,D10,D12,D14,D16,D18,D20,D22,D24,D26,D28,D30,D32,D34,D36,D38,D40)</f>
        <v>0</v>
      </c>
      <c r="E42" s="88">
        <f t="shared" si="55"/>
        <v>0</v>
      </c>
      <c r="F42" s="88">
        <f t="shared" si="55"/>
        <v>0</v>
      </c>
      <c r="G42" s="88">
        <f t="shared" si="55"/>
        <v>0</v>
      </c>
      <c r="H42" s="10"/>
      <c r="J42" s="767"/>
      <c r="K42" s="769"/>
      <c r="L42" s="136"/>
      <c r="M42" s="136"/>
      <c r="N42" s="136">
        <f t="shared" si="49"/>
        <v>0</v>
      </c>
      <c r="O42" s="143"/>
      <c r="P42" s="145">
        <f t="shared" si="50"/>
        <v>0</v>
      </c>
      <c r="Q42" s="143"/>
      <c r="R42" s="145">
        <f t="shared" si="51"/>
        <v>0</v>
      </c>
      <c r="S42" s="143"/>
      <c r="T42" s="145">
        <f t="shared" si="52"/>
        <v>0</v>
      </c>
      <c r="U42" s="143">
        <f t="shared" si="53"/>
        <v>0</v>
      </c>
      <c r="V42" s="145">
        <f t="shared" si="54"/>
        <v>0</v>
      </c>
      <c r="W42" s="165"/>
      <c r="Y42" s="767"/>
      <c r="Z42" s="769"/>
      <c r="AA42" s="136"/>
      <c r="AB42" s="136"/>
      <c r="AC42" s="136">
        <f t="shared" si="1"/>
        <v>0</v>
      </c>
      <c r="AD42" s="143"/>
      <c r="AE42" s="145">
        <f t="shared" si="6"/>
        <v>0</v>
      </c>
      <c r="AF42" s="143"/>
      <c r="AG42" s="145">
        <f t="shared" si="7"/>
        <v>0</v>
      </c>
      <c r="AH42" s="143"/>
      <c r="AI42" s="145">
        <f t="shared" si="8"/>
        <v>0</v>
      </c>
      <c r="AJ42" s="143">
        <f t="shared" si="31"/>
        <v>0</v>
      </c>
      <c r="AK42" s="145">
        <f t="shared" si="9"/>
        <v>0</v>
      </c>
      <c r="AL42" s="165"/>
      <c r="AN42" s="767"/>
      <c r="AO42" s="769"/>
      <c r="AP42" s="136"/>
      <c r="AQ42" s="136"/>
      <c r="AR42" s="136">
        <f t="shared" si="37"/>
        <v>0</v>
      </c>
      <c r="AS42" s="143"/>
      <c r="AT42" s="145">
        <f t="shared" si="38"/>
        <v>0</v>
      </c>
      <c r="AU42" s="143"/>
      <c r="AV42" s="145">
        <f t="shared" si="39"/>
        <v>0</v>
      </c>
      <c r="AW42" s="143"/>
      <c r="AX42" s="145">
        <f t="shared" si="40"/>
        <v>0</v>
      </c>
      <c r="AY42" s="143">
        <f t="shared" si="41"/>
        <v>0</v>
      </c>
      <c r="AZ42" s="145">
        <f t="shared" si="42"/>
        <v>0</v>
      </c>
      <c r="BA42" s="165"/>
      <c r="BC42" s="767"/>
      <c r="BD42" s="769"/>
      <c r="BE42" s="136"/>
      <c r="BF42" s="136"/>
      <c r="BG42" s="136">
        <f t="shared" si="48"/>
        <v>0</v>
      </c>
      <c r="BH42" s="143"/>
      <c r="BI42" s="145">
        <f t="shared" si="43"/>
        <v>0</v>
      </c>
      <c r="BJ42" s="143"/>
      <c r="BK42" s="145">
        <f t="shared" si="44"/>
        <v>0</v>
      </c>
      <c r="BL42" s="143"/>
      <c r="BM42" s="145">
        <f t="shared" si="45"/>
        <v>0</v>
      </c>
      <c r="BN42" s="143">
        <f t="shared" si="46"/>
        <v>0</v>
      </c>
      <c r="BO42" s="145">
        <f t="shared" si="47"/>
        <v>0</v>
      </c>
      <c r="BP42" s="165"/>
      <c r="BR42" s="767"/>
      <c r="BS42" s="769"/>
      <c r="BT42" s="136"/>
      <c r="BU42" s="136"/>
      <c r="BV42" s="136">
        <f t="shared" si="14"/>
        <v>0</v>
      </c>
      <c r="BW42" s="143"/>
      <c r="BX42" s="145">
        <f t="shared" si="15"/>
        <v>0</v>
      </c>
      <c r="BY42" s="143"/>
      <c r="BZ42" s="145">
        <f t="shared" si="16"/>
        <v>0</v>
      </c>
      <c r="CA42" s="143"/>
      <c r="CB42" s="145">
        <f t="shared" si="17"/>
        <v>0</v>
      </c>
      <c r="CC42" s="143">
        <f t="shared" si="33"/>
        <v>0</v>
      </c>
      <c r="CD42" s="145">
        <f t="shared" si="18"/>
        <v>0</v>
      </c>
      <c r="CE42" s="165"/>
      <c r="CG42" s="767"/>
      <c r="CH42" s="769"/>
      <c r="CI42" s="136"/>
      <c r="CJ42" s="136"/>
      <c r="CK42" s="136">
        <f t="shared" si="3"/>
        <v>0</v>
      </c>
      <c r="CL42" s="143"/>
      <c r="CM42" s="145">
        <f t="shared" si="19"/>
        <v>0</v>
      </c>
      <c r="CN42" s="143"/>
      <c r="CO42" s="145">
        <f t="shared" si="20"/>
        <v>0</v>
      </c>
      <c r="CP42" s="143"/>
      <c r="CQ42" s="145">
        <f t="shared" si="21"/>
        <v>0</v>
      </c>
      <c r="CR42" s="143">
        <f t="shared" si="34"/>
        <v>0</v>
      </c>
      <c r="CS42" s="145">
        <f t="shared" si="22"/>
        <v>0</v>
      </c>
      <c r="CT42" s="165"/>
      <c r="CV42" s="767"/>
      <c r="CW42" s="769"/>
      <c r="CX42" s="136"/>
      <c r="CY42" s="136"/>
      <c r="CZ42" s="136">
        <f t="shared" si="4"/>
        <v>0</v>
      </c>
      <c r="DA42" s="143"/>
      <c r="DB42" s="145">
        <f t="shared" si="23"/>
        <v>0</v>
      </c>
      <c r="DC42" s="143"/>
      <c r="DD42" s="145">
        <f t="shared" si="24"/>
        <v>0</v>
      </c>
      <c r="DE42" s="143"/>
      <c r="DF42" s="145">
        <f t="shared" si="25"/>
        <v>0</v>
      </c>
      <c r="DG42" s="143">
        <f t="shared" si="35"/>
        <v>0</v>
      </c>
      <c r="DH42" s="145">
        <f t="shared" si="26"/>
        <v>0</v>
      </c>
      <c r="DI42" s="165"/>
      <c r="DK42" s="767"/>
      <c r="DL42" s="769"/>
      <c r="DM42" s="136"/>
      <c r="DN42" s="136"/>
      <c r="DO42" s="136">
        <f t="shared" si="5"/>
        <v>0</v>
      </c>
      <c r="DP42" s="143"/>
      <c r="DQ42" s="145">
        <f t="shared" si="27"/>
        <v>0</v>
      </c>
      <c r="DR42" s="143"/>
      <c r="DS42" s="145">
        <f t="shared" si="28"/>
        <v>0</v>
      </c>
      <c r="DT42" s="143"/>
      <c r="DU42" s="145">
        <f t="shared" si="29"/>
        <v>0</v>
      </c>
      <c r="DV42" s="143">
        <f t="shared" si="36"/>
        <v>0</v>
      </c>
      <c r="DW42" s="145">
        <f t="shared" si="30"/>
        <v>0</v>
      </c>
      <c r="DX42" s="165"/>
    </row>
    <row r="43" spans="2:128">
      <c r="B43" s="693"/>
      <c r="C43" s="89">
        <f>+SUM(C7,C9,C11,C13,C15,C17,C19,C21,C23,C25,C27,C29,C31,C33,C35,C37,C39,C41)</f>
        <v>0</v>
      </c>
      <c r="D43" s="89">
        <f t="shared" si="55"/>
        <v>0</v>
      </c>
      <c r="E43" s="89">
        <f t="shared" si="55"/>
        <v>0</v>
      </c>
      <c r="F43" s="89">
        <f t="shared" si="55"/>
        <v>0</v>
      </c>
      <c r="G43" s="89">
        <f t="shared" si="55"/>
        <v>0</v>
      </c>
      <c r="H43" s="12"/>
      <c r="J43" s="768"/>
      <c r="K43" s="770"/>
      <c r="L43" s="138"/>
      <c r="M43" s="139"/>
      <c r="N43" s="139">
        <f t="shared" si="49"/>
        <v>0</v>
      </c>
      <c r="O43" s="144"/>
      <c r="P43" s="146">
        <f t="shared" si="50"/>
        <v>0</v>
      </c>
      <c r="Q43" s="144"/>
      <c r="R43" s="146">
        <f t="shared" si="51"/>
        <v>0</v>
      </c>
      <c r="S43" s="144"/>
      <c r="T43" s="146">
        <f t="shared" si="52"/>
        <v>0</v>
      </c>
      <c r="U43" s="144">
        <f t="shared" si="53"/>
        <v>0</v>
      </c>
      <c r="V43" s="146">
        <f t="shared" si="54"/>
        <v>0</v>
      </c>
      <c r="W43" s="166"/>
      <c r="Y43" s="768"/>
      <c r="Z43" s="770"/>
      <c r="AA43" s="138"/>
      <c r="AB43" s="139"/>
      <c r="AC43" s="139">
        <f t="shared" si="1"/>
        <v>0</v>
      </c>
      <c r="AD43" s="144"/>
      <c r="AE43" s="146">
        <f t="shared" si="6"/>
        <v>0</v>
      </c>
      <c r="AF43" s="144"/>
      <c r="AG43" s="146">
        <f t="shared" si="7"/>
        <v>0</v>
      </c>
      <c r="AH43" s="144"/>
      <c r="AI43" s="146">
        <f t="shared" si="8"/>
        <v>0</v>
      </c>
      <c r="AJ43" s="144">
        <f t="shared" si="31"/>
        <v>0</v>
      </c>
      <c r="AK43" s="146">
        <f t="shared" si="9"/>
        <v>0</v>
      </c>
      <c r="AL43" s="166"/>
      <c r="AN43" s="768"/>
      <c r="AO43" s="770"/>
      <c r="AP43" s="138"/>
      <c r="AQ43" s="139"/>
      <c r="AR43" s="139">
        <f t="shared" si="37"/>
        <v>0</v>
      </c>
      <c r="AS43" s="144"/>
      <c r="AT43" s="146">
        <f t="shared" si="38"/>
        <v>0</v>
      </c>
      <c r="AU43" s="144"/>
      <c r="AV43" s="146">
        <f t="shared" si="39"/>
        <v>0</v>
      </c>
      <c r="AW43" s="144"/>
      <c r="AX43" s="146">
        <f t="shared" si="40"/>
        <v>0</v>
      </c>
      <c r="AY43" s="144">
        <f t="shared" si="41"/>
        <v>0</v>
      </c>
      <c r="AZ43" s="146">
        <f t="shared" si="42"/>
        <v>0</v>
      </c>
      <c r="BA43" s="166"/>
      <c r="BC43" s="768"/>
      <c r="BD43" s="770"/>
      <c r="BE43" s="138"/>
      <c r="BF43" s="139"/>
      <c r="BG43" s="139">
        <f t="shared" si="48"/>
        <v>0</v>
      </c>
      <c r="BH43" s="144"/>
      <c r="BI43" s="146">
        <f t="shared" si="43"/>
        <v>0</v>
      </c>
      <c r="BJ43" s="144"/>
      <c r="BK43" s="146">
        <f t="shared" si="44"/>
        <v>0</v>
      </c>
      <c r="BL43" s="144"/>
      <c r="BM43" s="146">
        <f t="shared" si="45"/>
        <v>0</v>
      </c>
      <c r="BN43" s="144">
        <f t="shared" si="46"/>
        <v>0</v>
      </c>
      <c r="BO43" s="146">
        <f t="shared" si="47"/>
        <v>0</v>
      </c>
      <c r="BP43" s="166"/>
      <c r="BR43" s="768"/>
      <c r="BS43" s="770"/>
      <c r="BT43" s="138"/>
      <c r="BU43" s="139"/>
      <c r="BV43" s="139">
        <f t="shared" si="14"/>
        <v>0</v>
      </c>
      <c r="BW43" s="144"/>
      <c r="BX43" s="146">
        <f t="shared" si="15"/>
        <v>0</v>
      </c>
      <c r="BY43" s="144"/>
      <c r="BZ43" s="146">
        <f t="shared" si="16"/>
        <v>0</v>
      </c>
      <c r="CA43" s="144"/>
      <c r="CB43" s="146">
        <f t="shared" si="17"/>
        <v>0</v>
      </c>
      <c r="CC43" s="144">
        <f t="shared" si="33"/>
        <v>0</v>
      </c>
      <c r="CD43" s="146">
        <f t="shared" si="18"/>
        <v>0</v>
      </c>
      <c r="CE43" s="166"/>
      <c r="CG43" s="768"/>
      <c r="CH43" s="770"/>
      <c r="CI43" s="138"/>
      <c r="CJ43" s="139"/>
      <c r="CK43" s="139">
        <f t="shared" si="3"/>
        <v>0</v>
      </c>
      <c r="CL43" s="144"/>
      <c r="CM43" s="146">
        <f t="shared" si="19"/>
        <v>0</v>
      </c>
      <c r="CN43" s="144"/>
      <c r="CO43" s="146">
        <f t="shared" si="20"/>
        <v>0</v>
      </c>
      <c r="CP43" s="144"/>
      <c r="CQ43" s="146">
        <f t="shared" si="21"/>
        <v>0</v>
      </c>
      <c r="CR43" s="144">
        <f t="shared" si="34"/>
        <v>0</v>
      </c>
      <c r="CS43" s="146">
        <f t="shared" si="22"/>
        <v>0</v>
      </c>
      <c r="CT43" s="166"/>
      <c r="CV43" s="768"/>
      <c r="CW43" s="770"/>
      <c r="CX43" s="138"/>
      <c r="CY43" s="139"/>
      <c r="CZ43" s="139">
        <f t="shared" si="4"/>
        <v>0</v>
      </c>
      <c r="DA43" s="144"/>
      <c r="DB43" s="146">
        <f t="shared" si="23"/>
        <v>0</v>
      </c>
      <c r="DC43" s="144"/>
      <c r="DD43" s="146">
        <f t="shared" si="24"/>
        <v>0</v>
      </c>
      <c r="DE43" s="144"/>
      <c r="DF43" s="146">
        <f t="shared" si="25"/>
        <v>0</v>
      </c>
      <c r="DG43" s="144">
        <f t="shared" si="35"/>
        <v>0</v>
      </c>
      <c r="DH43" s="146">
        <f t="shared" si="26"/>
        <v>0</v>
      </c>
      <c r="DI43" s="166"/>
      <c r="DK43" s="768"/>
      <c r="DL43" s="770"/>
      <c r="DM43" s="138"/>
      <c r="DN43" s="139"/>
      <c r="DO43" s="139">
        <f t="shared" si="5"/>
        <v>0</v>
      </c>
      <c r="DP43" s="144"/>
      <c r="DQ43" s="146">
        <f t="shared" si="27"/>
        <v>0</v>
      </c>
      <c r="DR43" s="144"/>
      <c r="DS43" s="146">
        <f t="shared" si="28"/>
        <v>0</v>
      </c>
      <c r="DT43" s="144"/>
      <c r="DU43" s="146">
        <f t="shared" si="29"/>
        <v>0</v>
      </c>
      <c r="DV43" s="144">
        <f t="shared" si="36"/>
        <v>0</v>
      </c>
      <c r="DW43" s="146">
        <f t="shared" si="30"/>
        <v>0</v>
      </c>
      <c r="DX43" s="166"/>
    </row>
    <row r="44" spans="2:128">
      <c r="J44" s="69"/>
      <c r="K44" s="70"/>
      <c r="L44" s="70"/>
      <c r="M44" s="70"/>
      <c r="N44" s="70"/>
      <c r="O44" s="71"/>
      <c r="P44" s="71"/>
      <c r="Q44" s="71"/>
      <c r="R44" s="71"/>
      <c r="S44" s="71"/>
      <c r="T44" s="71"/>
      <c r="U44" s="71"/>
      <c r="V44" s="71"/>
      <c r="W44" s="72"/>
      <c r="Y44" s="69" t="s">
        <v>934</v>
      </c>
      <c r="Z44" s="70"/>
      <c r="AA44" s="70"/>
      <c r="AB44" s="70"/>
      <c r="AC44" s="70"/>
      <c r="AD44" s="71"/>
      <c r="AE44" s="71"/>
      <c r="AF44" s="71"/>
      <c r="AG44" s="71"/>
      <c r="AH44" s="71"/>
      <c r="AI44" s="71"/>
      <c r="AJ44" s="71"/>
      <c r="AK44" s="71"/>
      <c r="AL44" s="72"/>
      <c r="AN44" s="69" t="s">
        <v>934</v>
      </c>
      <c r="AO44" s="70"/>
      <c r="AP44" s="70"/>
      <c r="AQ44" s="70"/>
      <c r="AR44" s="70"/>
      <c r="AS44" s="71"/>
      <c r="AT44" s="71"/>
      <c r="AU44" s="71"/>
      <c r="AV44" s="71"/>
      <c r="AW44" s="71"/>
      <c r="AX44" s="71"/>
      <c r="AY44" s="71"/>
      <c r="AZ44" s="71"/>
      <c r="BA44" s="72"/>
      <c r="BC44" s="69"/>
      <c r="BD44" s="70"/>
      <c r="BE44" s="70"/>
      <c r="BF44" s="70"/>
      <c r="BG44" s="70"/>
      <c r="BH44" s="71"/>
      <c r="BI44" s="71"/>
      <c r="BJ44" s="71"/>
      <c r="BK44" s="71"/>
      <c r="BL44" s="71"/>
      <c r="BM44" s="71"/>
      <c r="BN44" s="71"/>
      <c r="BO44" s="71"/>
      <c r="BP44" s="72"/>
      <c r="BR44" s="69"/>
      <c r="BS44" s="70"/>
      <c r="BT44" s="70"/>
      <c r="BU44" s="70"/>
      <c r="BV44" s="70"/>
      <c r="BW44" s="71"/>
      <c r="BX44" s="71"/>
      <c r="BY44" s="71"/>
      <c r="BZ44" s="71"/>
      <c r="CA44" s="71"/>
      <c r="CB44" s="71"/>
      <c r="CC44" s="71"/>
      <c r="CD44" s="71"/>
      <c r="CE44" s="72"/>
      <c r="CG44" s="69" t="s">
        <v>332</v>
      </c>
      <c r="CH44" s="70"/>
      <c r="CI44" s="70"/>
      <c r="CJ44" s="70"/>
      <c r="CK44" s="70"/>
      <c r="CL44" s="71"/>
      <c r="CM44" s="71"/>
      <c r="CN44" s="71"/>
      <c r="CO44" s="71"/>
      <c r="CP44" s="71"/>
      <c r="CQ44" s="71"/>
      <c r="CR44" s="71"/>
      <c r="CS44" s="71"/>
      <c r="CT44" s="72"/>
      <c r="CV44" s="69" t="s">
        <v>83</v>
      </c>
      <c r="CW44" s="70"/>
      <c r="CX44" s="70"/>
      <c r="CY44" s="70"/>
      <c r="CZ44" s="70"/>
      <c r="DA44" s="71"/>
      <c r="DB44" s="71"/>
      <c r="DC44" s="71"/>
      <c r="DD44" s="71"/>
      <c r="DE44" s="71"/>
      <c r="DF44" s="71"/>
      <c r="DG44" s="71"/>
      <c r="DH44" s="71"/>
      <c r="DI44" s="72"/>
      <c r="DK44" s="69" t="s">
        <v>332</v>
      </c>
      <c r="DL44" s="70"/>
      <c r="DM44" s="70"/>
      <c r="DN44" s="70"/>
      <c r="DO44" s="70"/>
      <c r="DP44" s="71"/>
      <c r="DQ44" s="71"/>
      <c r="DR44" s="71"/>
      <c r="DS44" s="71"/>
      <c r="DT44" s="71"/>
      <c r="DU44" s="71"/>
      <c r="DV44" s="71"/>
      <c r="DW44" s="71"/>
      <c r="DX44" s="72"/>
    </row>
    <row r="45" spans="2:128">
      <c r="J45" s="73"/>
      <c r="K45" s="74"/>
      <c r="L45" s="74"/>
      <c r="M45" s="74"/>
      <c r="N45" s="74"/>
      <c r="O45" s="75"/>
      <c r="P45" s="75"/>
      <c r="Q45" s="75"/>
      <c r="R45" s="75"/>
      <c r="S45" s="75"/>
      <c r="T45" s="75"/>
      <c r="U45" s="75"/>
      <c r="V45" s="75"/>
      <c r="W45" s="76"/>
      <c r="Y45" s="73"/>
      <c r="Z45" s="74"/>
      <c r="AA45" s="74"/>
      <c r="AB45" s="74"/>
      <c r="AC45" s="74"/>
      <c r="AD45" s="75"/>
      <c r="AE45" s="75"/>
      <c r="AF45" s="75"/>
      <c r="AG45" s="75"/>
      <c r="AH45" s="75"/>
      <c r="AI45" s="75"/>
      <c r="AJ45" s="75"/>
      <c r="AK45" s="75"/>
      <c r="AL45" s="76"/>
      <c r="AN45" s="73"/>
      <c r="AO45" s="74"/>
      <c r="AP45" s="74"/>
      <c r="AQ45" s="74"/>
      <c r="AR45" s="74"/>
      <c r="AS45" s="75"/>
      <c r="AT45" s="75"/>
      <c r="AU45" s="75"/>
      <c r="AV45" s="75"/>
      <c r="AW45" s="75"/>
      <c r="AX45" s="75"/>
      <c r="AY45" s="75"/>
      <c r="AZ45" s="75"/>
      <c r="BA45" s="76"/>
      <c r="BC45" s="73"/>
      <c r="BD45" s="74"/>
      <c r="BE45" s="74"/>
      <c r="BF45" s="74"/>
      <c r="BG45" s="74"/>
      <c r="BH45" s="75"/>
      <c r="BI45" s="75"/>
      <c r="BJ45" s="75"/>
      <c r="BK45" s="75"/>
      <c r="BL45" s="75"/>
      <c r="BM45" s="75"/>
      <c r="BN45" s="75"/>
      <c r="BO45" s="75"/>
      <c r="BP45" s="76"/>
      <c r="BR45" s="73"/>
      <c r="BS45" s="74"/>
      <c r="BT45" s="74"/>
      <c r="BU45" s="74"/>
      <c r="BV45" s="74"/>
      <c r="BW45" s="75"/>
      <c r="BX45" s="75"/>
      <c r="BY45" s="75"/>
      <c r="BZ45" s="75"/>
      <c r="CA45" s="75"/>
      <c r="CB45" s="75"/>
      <c r="CC45" s="75"/>
      <c r="CD45" s="75"/>
      <c r="CE45" s="76"/>
      <c r="CG45" s="171" t="s">
        <v>335</v>
      </c>
      <c r="CH45" s="74"/>
      <c r="CI45" s="74"/>
      <c r="CJ45" s="74"/>
      <c r="CK45" s="74"/>
      <c r="CL45" s="75"/>
      <c r="CM45" s="75"/>
      <c r="CN45" s="75"/>
      <c r="CO45" s="75"/>
      <c r="CP45" s="75"/>
      <c r="CQ45" s="75"/>
      <c r="CR45" s="75"/>
      <c r="CS45" s="75"/>
      <c r="CT45" s="76"/>
      <c r="CV45" s="171" t="s">
        <v>332</v>
      </c>
      <c r="CW45" s="74"/>
      <c r="CX45" s="74"/>
      <c r="CY45" s="74"/>
      <c r="CZ45" s="74"/>
      <c r="DA45" s="75"/>
      <c r="DB45" s="75"/>
      <c r="DC45" s="75"/>
      <c r="DD45" s="75"/>
      <c r="DE45" s="75"/>
      <c r="DF45" s="75"/>
      <c r="DG45" s="75"/>
      <c r="DH45" s="75"/>
      <c r="DI45" s="76"/>
      <c r="DK45" s="171" t="s">
        <v>335</v>
      </c>
      <c r="DL45" s="74"/>
      <c r="DM45" s="74"/>
      <c r="DN45" s="74"/>
      <c r="DO45" s="74"/>
      <c r="DP45" s="75"/>
      <c r="DQ45" s="75"/>
      <c r="DR45" s="75"/>
      <c r="DS45" s="75"/>
      <c r="DT45" s="75"/>
      <c r="DU45" s="75"/>
      <c r="DV45" s="75"/>
      <c r="DW45" s="75"/>
      <c r="DX45" s="76"/>
    </row>
    <row r="46" spans="2:128" ht="19.5" thickBot="1">
      <c r="B46" s="85"/>
      <c r="C46" s="85"/>
      <c r="D46" s="85"/>
      <c r="E46" s="85"/>
      <c r="F46" s="85"/>
      <c r="G46" s="85"/>
      <c r="H46" s="85"/>
      <c r="J46" s="77"/>
      <c r="K46" s="78"/>
      <c r="L46" s="78"/>
      <c r="M46" s="78"/>
      <c r="N46" s="78"/>
      <c r="O46" s="79"/>
      <c r="P46" s="79"/>
      <c r="Q46" s="79"/>
      <c r="R46" s="79"/>
      <c r="S46" s="79"/>
      <c r="T46" s="79"/>
      <c r="U46" s="79"/>
      <c r="V46" s="79"/>
      <c r="W46" s="80"/>
      <c r="Y46" s="77"/>
      <c r="Z46" s="78"/>
      <c r="AA46" s="78"/>
      <c r="AB46" s="78"/>
      <c r="AC46" s="78"/>
      <c r="AD46" s="79"/>
      <c r="AE46" s="79"/>
      <c r="AF46" s="79"/>
      <c r="AG46" s="79"/>
      <c r="AH46" s="79"/>
      <c r="AI46" s="79"/>
      <c r="AJ46" s="79"/>
      <c r="AK46" s="79"/>
      <c r="AL46" s="80"/>
      <c r="AN46" s="77"/>
      <c r="AO46" s="78"/>
      <c r="AP46" s="78"/>
      <c r="AQ46" s="78"/>
      <c r="AR46" s="78"/>
      <c r="AS46" s="79"/>
      <c r="AT46" s="79"/>
      <c r="AU46" s="79"/>
      <c r="AV46" s="79"/>
      <c r="AW46" s="79"/>
      <c r="AX46" s="79"/>
      <c r="AY46" s="79"/>
      <c r="AZ46" s="79"/>
      <c r="BA46" s="80"/>
      <c r="BC46" s="77"/>
      <c r="BD46" s="78"/>
      <c r="BE46" s="78"/>
      <c r="BF46" s="78"/>
      <c r="BG46" s="78"/>
      <c r="BH46" s="79"/>
      <c r="BI46" s="79"/>
      <c r="BJ46" s="79"/>
      <c r="BK46" s="79"/>
      <c r="BL46" s="79"/>
      <c r="BM46" s="79"/>
      <c r="BN46" s="79"/>
      <c r="BO46" s="79"/>
      <c r="BP46" s="80"/>
      <c r="BR46" s="77"/>
      <c r="BS46" s="78"/>
      <c r="BT46" s="78"/>
      <c r="BU46" s="78"/>
      <c r="BV46" s="78"/>
      <c r="BW46" s="79"/>
      <c r="BX46" s="79"/>
      <c r="BY46" s="79"/>
      <c r="BZ46" s="79"/>
      <c r="CA46" s="79"/>
      <c r="CB46" s="79"/>
      <c r="CC46" s="79"/>
      <c r="CD46" s="79"/>
      <c r="CE46" s="80"/>
      <c r="CG46" s="77" t="s">
        <v>336</v>
      </c>
      <c r="CH46" s="78"/>
      <c r="CI46" s="78"/>
      <c r="CJ46" s="78"/>
      <c r="CK46" s="78"/>
      <c r="CL46" s="79"/>
      <c r="CM46" s="79"/>
      <c r="CN46" s="79"/>
      <c r="CO46" s="79"/>
      <c r="CP46" s="79"/>
      <c r="CQ46" s="79"/>
      <c r="CR46" s="79"/>
      <c r="CS46" s="79"/>
      <c r="CT46" s="80"/>
      <c r="CV46" s="172" t="s">
        <v>335</v>
      </c>
      <c r="CW46" s="78"/>
      <c r="CX46" s="78"/>
      <c r="CY46" s="78"/>
      <c r="CZ46" s="78"/>
      <c r="DA46" s="79"/>
      <c r="DB46" s="79"/>
      <c r="DC46" s="79"/>
      <c r="DD46" s="79"/>
      <c r="DE46" s="79"/>
      <c r="DF46" s="79"/>
      <c r="DG46" s="79"/>
      <c r="DH46" s="79"/>
      <c r="DI46" s="80"/>
      <c r="DK46" s="77"/>
      <c r="DL46" s="78"/>
      <c r="DM46" s="78"/>
      <c r="DN46" s="78"/>
      <c r="DO46" s="78"/>
      <c r="DP46" s="79"/>
      <c r="DQ46" s="79"/>
      <c r="DR46" s="79"/>
      <c r="DS46" s="79"/>
      <c r="DT46" s="79"/>
      <c r="DU46" s="79"/>
      <c r="DV46" s="79"/>
      <c r="DW46" s="79"/>
      <c r="DX46" s="80"/>
    </row>
    <row r="47" spans="2:128" ht="19.5" customHeight="1" thickTop="1">
      <c r="B47" s="692" t="s">
        <v>78</v>
      </c>
      <c r="C47" s="86">
        <f>+C42</f>
        <v>0</v>
      </c>
      <c r="D47" s="86">
        <f t="shared" ref="D47:G48" si="56">+D42</f>
        <v>0</v>
      </c>
      <c r="E47" s="86">
        <f t="shared" si="56"/>
        <v>0</v>
      </c>
      <c r="F47" s="86">
        <f t="shared" si="56"/>
        <v>0</v>
      </c>
      <c r="G47" s="86">
        <f t="shared" si="56"/>
        <v>0</v>
      </c>
      <c r="H47" s="22"/>
      <c r="J47" s="696" t="s">
        <v>78</v>
      </c>
      <c r="K47" s="150"/>
      <c r="L47" s="152">
        <f t="shared" ref="L47:N48" si="57">+L54</f>
        <v>0</v>
      </c>
      <c r="M47" s="152">
        <f t="shared" si="57"/>
        <v>0</v>
      </c>
      <c r="N47" s="153">
        <f t="shared" si="57"/>
        <v>0</v>
      </c>
      <c r="O47" s="65"/>
      <c r="P47" s="65">
        <f>+SUM(P6,P8,P10,P12,P14,P16,P18,P20,P22,P24,P26,P28,P30,P32,P34,P36,P38,P40,P42)</f>
        <v>0</v>
      </c>
      <c r="Q47" s="65"/>
      <c r="R47" s="65">
        <f>+SUM(R6,R8,R10,R12,R14,R16,R18,R20,R22,R24,R26,R28,R30,R32,R34,R36,R38,R40,R42)</f>
        <v>0</v>
      </c>
      <c r="S47" s="65"/>
      <c r="T47" s="65">
        <f>+SUM(T6,T8,T10,T12,T14,T16,T18,T20,T22,T24,T26,T28,T30,T32,T34,T36,T38,T40,T42)</f>
        <v>0</v>
      </c>
      <c r="U47" s="65"/>
      <c r="V47" s="65">
        <f>+SUM(V6,V8,V10,V12,V14,V16,V18,V20,V22,V24,V26,V28,V30,V32,V34,V36,V38,V40,V42)</f>
        <v>0</v>
      </c>
      <c r="W47" s="53"/>
      <c r="Y47" s="696" t="s">
        <v>78</v>
      </c>
      <c r="Z47" s="150"/>
      <c r="AA47" s="152">
        <f t="shared" ref="AA47:AC48" si="58">+AA54</f>
        <v>0</v>
      </c>
      <c r="AB47" s="152">
        <f t="shared" si="58"/>
        <v>0</v>
      </c>
      <c r="AC47" s="153">
        <f t="shared" si="58"/>
        <v>0</v>
      </c>
      <c r="AD47" s="65"/>
      <c r="AE47" s="65">
        <f>+SUM(AE6,AE8,AE10,AE12,AE14,AE16,AE18,AE20,AE22,AE24,AE26,AE28,AE30,AE32,AE34,AE36,AE38,AE40,AE42)</f>
        <v>0</v>
      </c>
      <c r="AF47" s="65"/>
      <c r="AG47" s="65">
        <f>+SUM(AG6,AG8,AG10,AG12,AG14,AG16,AG18,AG20,AG22,AG24,AG26,AG28,AG30,AG32,AG34,AG36,AG38,AG40,AG42)</f>
        <v>0</v>
      </c>
      <c r="AH47" s="65"/>
      <c r="AI47" s="65">
        <f>+SUM(AI6,AI8,AI10,AI12,AI14,AI16,AI18,AI20,AI22,AI24,AI26,AI28,AI30,AI32,AI34,AI36,AI38,AI40,AI42)</f>
        <v>0</v>
      </c>
      <c r="AJ47" s="65"/>
      <c r="AK47" s="65">
        <f>+SUM(AK6,AK8,AK10,AK12,AK14,AK16,AK18,AK20,AK22,AK24,AK26,AK28,AK30,AK32,AK34,AK36,AK38,AK40,AK42)</f>
        <v>0</v>
      </c>
      <c r="AL47" s="53"/>
      <c r="AN47" s="696" t="s">
        <v>78</v>
      </c>
      <c r="AO47" s="150"/>
      <c r="AP47" s="152">
        <f t="shared" ref="AP47:AR48" si="59">+AP54</f>
        <v>0</v>
      </c>
      <c r="AQ47" s="152">
        <f t="shared" si="59"/>
        <v>0</v>
      </c>
      <c r="AR47" s="153">
        <f t="shared" si="59"/>
        <v>0</v>
      </c>
      <c r="AS47" s="65"/>
      <c r="AT47" s="65">
        <f>+SUM(AT6,AT8,AT10,AT12,AT14,AT16,AT18,AT20,AT22,AT24,AT26,AT28,AT30,AT32,AT34,AT36,AT38,AT40,AT42)</f>
        <v>0</v>
      </c>
      <c r="AU47" s="65"/>
      <c r="AV47" s="65">
        <f>+SUM(AV6,AV8,AV10,AV12,AV14,AV16,AV18,AV20,AV22,AV24,AV26,AV28,AV30,AV32,AV34,AV36,AV38,AV40,AV42)</f>
        <v>0</v>
      </c>
      <c r="AW47" s="65"/>
      <c r="AX47" s="65">
        <f>+SUM(AX6,AX8,AX10,AX12,AX14,AX16,AX18,AX20,AX22,AX24,AX26,AX28,AX30,AX32,AX34,AX36,AX38,AX40,AX42)</f>
        <v>0</v>
      </c>
      <c r="AY47" s="65"/>
      <c r="AZ47" s="65">
        <f>+SUM(AZ6,AZ8,AZ10,AZ12,AZ14,AZ16,AZ18,AZ20,AZ22,AZ24,AZ26,AZ28,AZ30,AZ32,AZ34,AZ36,AZ38,AZ40,AZ42)</f>
        <v>0</v>
      </c>
      <c r="BA47" s="53"/>
      <c r="BC47" s="696" t="s">
        <v>78</v>
      </c>
      <c r="BD47" s="150"/>
      <c r="BE47" s="152">
        <f t="shared" ref="BE47:BG48" si="60">+BE54</f>
        <v>0</v>
      </c>
      <c r="BF47" s="152">
        <f t="shared" si="60"/>
        <v>0</v>
      </c>
      <c r="BG47" s="153">
        <f t="shared" si="60"/>
        <v>0</v>
      </c>
      <c r="BH47" s="65"/>
      <c r="BI47" s="65">
        <f>+SUM(BI6,BI8,BI10,BI12,BI14,BI16,BI18,BI20,BI22,BI24,BI26,BI28,BI30,BI32,BI34,BI36,BI38,BI40,BI42)</f>
        <v>0</v>
      </c>
      <c r="BJ47" s="65"/>
      <c r="BK47" s="65">
        <f>+SUM(BK6,BK8,BK10,BK12,BK14,BK16,BK18,BK20,BK22,BK24,BK26,BK28,BK30,BK32,BK34,BK36,BK38,BK40,BK42)</f>
        <v>0</v>
      </c>
      <c r="BL47" s="65"/>
      <c r="BM47" s="65">
        <f>+SUM(BM6,BM8,BM10,BM12,BM14,BM16,BM18,BM20,BM22,BM24,BM26,BM28,BM30,BM32,BM34,BM36,BM38,BM40,BM42)</f>
        <v>0</v>
      </c>
      <c r="BN47" s="65"/>
      <c r="BO47" s="65">
        <f>+SUM(BO6,BO8,BO10,BO12,BO14,BO16,BO18,BO20,BO22,BO24,BO26,BO28,BO30,BO32,BO34,BO36,BO38,BO40,BO42)</f>
        <v>0</v>
      </c>
      <c r="BP47" s="53"/>
      <c r="BR47" s="696" t="s">
        <v>78</v>
      </c>
      <c r="BS47" s="150"/>
      <c r="BT47" s="152">
        <f t="shared" ref="BT47:BV48" si="61">+BT54</f>
        <v>0</v>
      </c>
      <c r="BU47" s="152">
        <f t="shared" si="61"/>
        <v>0</v>
      </c>
      <c r="BV47" s="153">
        <f t="shared" si="61"/>
        <v>0</v>
      </c>
      <c r="BW47" s="65"/>
      <c r="BX47" s="65">
        <f>+SUM(BX6,BX8,BX10,BX12,BX14,BX16,BX18,BX20,BX22,BX24,BX26,BX28,BX30,BX32,BX34,BX36,BX38,BX40,BX42)</f>
        <v>0</v>
      </c>
      <c r="BY47" s="65"/>
      <c r="BZ47" s="65">
        <f>+SUM(BZ6,BZ8,BZ10,BZ12,BZ14,BZ16,BZ18,BZ20,BZ22,BZ24,BZ26,BZ28,BZ30,BZ32,BZ34,BZ36,BZ38,BZ40,BZ42)</f>
        <v>0</v>
      </c>
      <c r="CA47" s="65"/>
      <c r="CB47" s="65">
        <f>+SUM(CB6,CB8,CB10,CB12,CB14,CB16,CB18,CB20,CB22,CB24,CB26,CB28,CB30,CB32,CB34,CB36,CB38,CB40,CB42)</f>
        <v>0</v>
      </c>
      <c r="CC47" s="65"/>
      <c r="CD47" s="65">
        <f>+SUM(CD6,CD8,CD10,CD12,CD14,CD16,CD18,CD20,CD22,CD24,CD26,CD28,CD30,CD32,CD34,CD36,CD38,CD40,CD42)</f>
        <v>0</v>
      </c>
      <c r="CE47" s="53"/>
      <c r="CG47" s="696" t="s">
        <v>78</v>
      </c>
      <c r="CH47" s="150"/>
      <c r="CI47" s="152">
        <f t="shared" ref="CI47:CK48" si="62">+CI54</f>
        <v>0</v>
      </c>
      <c r="CJ47" s="152">
        <f t="shared" si="62"/>
        <v>0</v>
      </c>
      <c r="CK47" s="153">
        <f t="shared" si="62"/>
        <v>0</v>
      </c>
      <c r="CL47" s="65"/>
      <c r="CM47" s="65">
        <f>+SUM(CM6,CM8,CM10,CM12,CM14,CM16,CM18,CM20,CM22,CM24,CM26,CM28,CM30,CM32,CM34,CM36,CM38,CM40,CM42)</f>
        <v>0</v>
      </c>
      <c r="CN47" s="65"/>
      <c r="CO47" s="65">
        <f>+SUM(CO6,CO8,CO10,CO12,CO14,CO16,CO18,CO20,CO22,CO24,CO26,CO28,CO30,CO32,CO34,CO36,CO38,CO40,CO42)</f>
        <v>0</v>
      </c>
      <c r="CP47" s="65"/>
      <c r="CQ47" s="65">
        <f>+SUM(CQ6,CQ8,CQ10,CQ12,CQ14,CQ16,CQ18,CQ20,CQ22,CQ24,CQ26,CQ28,CQ30,CQ32,CQ34,CQ36,CQ38,CQ40,CQ42)</f>
        <v>0</v>
      </c>
      <c r="CR47" s="65"/>
      <c r="CS47" s="65">
        <f>+SUM(CS6,CS8,CS10,CS12,CS14,CS16,CS18,CS20,CS22,CS24,CS26,CS28,CS30,CS32,CS34,CS36,CS38,CS40,CS42)</f>
        <v>0</v>
      </c>
      <c r="CT47" s="53"/>
      <c r="CV47" s="696" t="s">
        <v>78</v>
      </c>
      <c r="CW47" s="150"/>
      <c r="CX47" s="152">
        <f t="shared" ref="CX47:CZ48" si="63">+CX54</f>
        <v>0</v>
      </c>
      <c r="CY47" s="152">
        <f t="shared" si="63"/>
        <v>0</v>
      </c>
      <c r="CZ47" s="153">
        <f t="shared" si="63"/>
        <v>0</v>
      </c>
      <c r="DA47" s="65"/>
      <c r="DB47" s="65">
        <f>+SUM(DB6,DB8,DB10,DB12,DB14,DB16,DB18,DB20,DB22,DB24,DB26,DB28,DB30,DB32,DB34,DB36,DB38,DB40,DB42)</f>
        <v>0</v>
      </c>
      <c r="DC47" s="65"/>
      <c r="DD47" s="65">
        <f>+SUM(DD6,DD8,DD10,DD12,DD14,DD16,DD18,DD20,DD22,DD24,DD26,DD28,DD30,DD32,DD34,DD36,DD38,DD40,DD42)</f>
        <v>0</v>
      </c>
      <c r="DE47" s="65"/>
      <c r="DF47" s="65">
        <f>+SUM(DF6,DF8,DF10,DF12,DF14,DF16,DF18,DF20,DF22,DF24,DF26,DF28,DF30,DF32,DF34,DF36,DF38,DF40,DF42)</f>
        <v>0</v>
      </c>
      <c r="DG47" s="65"/>
      <c r="DH47" s="65">
        <f>+SUM(DH6,DH8,DH10,DH12,DH14,DH16,DH18,DH20,DH22,DH24,DH26,DH28,DH30,DH32,DH34,DH36,DH38,DH40,DH42)</f>
        <v>0</v>
      </c>
      <c r="DI47" s="53"/>
      <c r="DK47" s="696" t="s">
        <v>78</v>
      </c>
      <c r="DL47" s="150"/>
      <c r="DM47" s="152">
        <f t="shared" ref="DM47:DO48" si="64">+DM54</f>
        <v>0</v>
      </c>
      <c r="DN47" s="152">
        <f t="shared" si="64"/>
        <v>0</v>
      </c>
      <c r="DO47" s="153">
        <f t="shared" si="64"/>
        <v>0</v>
      </c>
      <c r="DP47" s="65"/>
      <c r="DQ47" s="65">
        <f>+SUM(DQ6,DQ8,DQ10,DQ12,DQ14,DQ16,DQ18,DQ20,DQ22,DQ24,DQ26,DQ28,DQ30,DQ32,DQ34,DQ36,DQ38,DQ40,DQ42)</f>
        <v>0</v>
      </c>
      <c r="DR47" s="65"/>
      <c r="DS47" s="65">
        <f>+SUM(DS6,DS8,DS10,DS12,DS14,DS16,DS18,DS20,DS22,DS24,DS26,DS28,DS30,DS32,DS34,DS36,DS38,DS40,DS42)</f>
        <v>0</v>
      </c>
      <c r="DT47" s="65"/>
      <c r="DU47" s="65">
        <f>+SUM(DU6,DU8,DU10,DU12,DU14,DU16,DU18,DU20,DU22,DU24,DU26,DU28,DU30,DU32,DU34,DU36,DU38,DU40,DU42)</f>
        <v>0</v>
      </c>
      <c r="DV47" s="65"/>
      <c r="DW47" s="65">
        <f>+SUM(DW6,DW8,DW10,DW12,DW14,DW16,DW18,DW20,DW22,DW24,DW26,DW28,DW30,DW32,DW34,DW36,DW38,DW40,DW42)</f>
        <v>0</v>
      </c>
      <c r="DX47" s="53"/>
    </row>
    <row r="48" spans="2:128">
      <c r="B48" s="693"/>
      <c r="C48" s="87">
        <f>+C43</f>
        <v>0</v>
      </c>
      <c r="D48" s="87">
        <f t="shared" si="56"/>
        <v>0</v>
      </c>
      <c r="E48" s="87">
        <f t="shared" si="56"/>
        <v>0</v>
      </c>
      <c r="F48" s="87">
        <f t="shared" si="56"/>
        <v>0</v>
      </c>
      <c r="G48" s="87">
        <f t="shared" si="56"/>
        <v>0</v>
      </c>
      <c r="H48" s="12"/>
      <c r="J48" s="697"/>
      <c r="K48" s="151"/>
      <c r="L48" s="154">
        <f t="shared" si="57"/>
        <v>0</v>
      </c>
      <c r="M48" s="154">
        <f t="shared" si="57"/>
        <v>0</v>
      </c>
      <c r="N48" s="155">
        <f t="shared" si="57"/>
        <v>0</v>
      </c>
      <c r="O48" s="59"/>
      <c r="P48" s="59">
        <f>+SUM(P7,P9,P11,P13,P15,P17,P19,P21,P23,P25,P27,P29,P31,P33,P35,P37,P39,P41,P43)</f>
        <v>0</v>
      </c>
      <c r="Q48" s="59"/>
      <c r="R48" s="59">
        <f>+SUM(R7,R9,R11,R13,R15,R17,R19,R21,R23,R25,R27,R29,R31,R33,R35,R37,R39,R41,R43)</f>
        <v>0</v>
      </c>
      <c r="S48" s="59"/>
      <c r="T48" s="59">
        <f>+SUM(T7,T9,T11,T13,T15,T17,T19,T21,T23,T25,T27,T29,T31,T33,T35,T37,T39,T41,T43)</f>
        <v>0</v>
      </c>
      <c r="U48" s="59"/>
      <c r="V48" s="59">
        <f>+SUM(V7,V9,V11,V13,V15,V17,V19,V21,V23,V25,V27,V29,V31,V33,V35,V37,V39,V41,V43)</f>
        <v>0</v>
      </c>
      <c r="W48" s="9"/>
      <c r="Y48" s="697"/>
      <c r="Z48" s="151"/>
      <c r="AA48" s="154">
        <f t="shared" si="58"/>
        <v>0</v>
      </c>
      <c r="AB48" s="154">
        <f t="shared" si="58"/>
        <v>0</v>
      </c>
      <c r="AC48" s="155">
        <f t="shared" si="58"/>
        <v>0</v>
      </c>
      <c r="AD48" s="59"/>
      <c r="AE48" s="59">
        <f>+SUM(AE7,AE9,AE11,AE13,AE15,AE17,AE19,AE21,AE23,AE25,AE27,AE29,AE31,AE33,AE35,AE37,AE39,AE41,AE43)</f>
        <v>0</v>
      </c>
      <c r="AF48" s="59"/>
      <c r="AG48" s="59">
        <f>+SUM(AG7,AG9,AG11,AG13,AG15,AG17,AG19,AG21,AG23,AG25,AG27,AG29,AG31,AG33,AG35,AG37,AG39,AG41,AG43)</f>
        <v>0</v>
      </c>
      <c r="AH48" s="59"/>
      <c r="AI48" s="59">
        <f>+SUM(AI7,AI9,AI11,AI13,AI15,AI17,AI19,AI21,AI23,AI25,AI27,AI29,AI31,AI33,AI35,AI37,AI39,AI41,AI43)</f>
        <v>0</v>
      </c>
      <c r="AJ48" s="59"/>
      <c r="AK48" s="59">
        <f>+SUM(AK7,AK9,AK11,AK13,AK15,AK17,AK19,AK21,AK23,AK25,AK27,AK29,AK31,AK33,AK35,AK37,AK39,AK41,AK43)</f>
        <v>0</v>
      </c>
      <c r="AL48" s="9"/>
      <c r="AN48" s="697"/>
      <c r="AO48" s="151"/>
      <c r="AP48" s="154">
        <f t="shared" si="59"/>
        <v>0</v>
      </c>
      <c r="AQ48" s="154">
        <f t="shared" si="59"/>
        <v>0</v>
      </c>
      <c r="AR48" s="155">
        <f t="shared" si="59"/>
        <v>0</v>
      </c>
      <c r="AS48" s="59"/>
      <c r="AT48" s="59">
        <f>+SUM(AT7,AT9,AT11,AT13,AT15,AT17,AT19,AT21,AT23,AT25,AT27,AT29,AT31,AT33,AT35,AT37,AT39,AT41,AT43)</f>
        <v>0</v>
      </c>
      <c r="AU48" s="59"/>
      <c r="AV48" s="59">
        <f>+SUM(AV7,AV9,AV11,AV13,AV15,AV17,AV19,AV21,AV23,AV25,AV27,AV29,AV31,AV33,AV35,AV37,AV39,AV41,AV43)</f>
        <v>0</v>
      </c>
      <c r="AW48" s="59"/>
      <c r="AX48" s="59">
        <f>+SUM(AX7,AX9,AX11,AX13,AX15,AX17,AX19,AX21,AX23,AX25,AX27,AX29,AX31,AX33,AX35,AX37,AX39,AX41,AX43)</f>
        <v>0</v>
      </c>
      <c r="AY48" s="59"/>
      <c r="AZ48" s="59">
        <f>+SUM(AZ7,AZ9,AZ11,AZ13,AZ15,AZ17,AZ19,AZ21,AZ23,AZ25,AZ27,AZ29,AZ31,AZ33,AZ35,AZ37,AZ39,AZ41,AZ43)</f>
        <v>0</v>
      </c>
      <c r="BA48" s="9"/>
      <c r="BC48" s="697"/>
      <c r="BD48" s="151"/>
      <c r="BE48" s="154">
        <f t="shared" si="60"/>
        <v>0</v>
      </c>
      <c r="BF48" s="154">
        <f t="shared" si="60"/>
        <v>0</v>
      </c>
      <c r="BG48" s="155">
        <f t="shared" si="60"/>
        <v>0</v>
      </c>
      <c r="BH48" s="59"/>
      <c r="BI48" s="59">
        <f>+SUM(BI7,BI9,BI11,BI13,BI15,BI17,BI19,BI21,BI23,BI25,BI27,BI29,BI31,BI33,BI35,BI37,BI39,BI41,BI43)</f>
        <v>0</v>
      </c>
      <c r="BJ48" s="59"/>
      <c r="BK48" s="59">
        <f>+SUM(BK7,BK9,BK11,BK13,BK15,BK17,BK19,BK21,BK23,BK25,BK27,BK29,BK31,BK33,BK35,BK37,BK39,BK41,BK43)</f>
        <v>0</v>
      </c>
      <c r="BL48" s="59"/>
      <c r="BM48" s="59">
        <f>+SUM(BM7,BM9,BM11,BM13,BM15,BM17,BM19,BM21,BM23,BM25,BM27,BM29,BM31,BM33,BM35,BM37,BM39,BM41,BM43)</f>
        <v>0</v>
      </c>
      <c r="BN48" s="59"/>
      <c r="BO48" s="59">
        <f>+SUM(BO7,BO9,BO11,BO13,BO15,BO17,BO19,BO21,BO23,BO25,BO27,BO29,BO31,BO33,BO35,BO37,BO39,BO41,BO43)</f>
        <v>0</v>
      </c>
      <c r="BP48" s="9"/>
      <c r="BR48" s="697"/>
      <c r="BS48" s="151"/>
      <c r="BT48" s="154">
        <f t="shared" si="61"/>
        <v>0</v>
      </c>
      <c r="BU48" s="154">
        <f t="shared" si="61"/>
        <v>0</v>
      </c>
      <c r="BV48" s="155">
        <f t="shared" si="61"/>
        <v>0</v>
      </c>
      <c r="BW48" s="59"/>
      <c r="BX48" s="59">
        <f>+SUM(BX7,BX9,BX11,BX13,BX15,BX17,BX19,BX21,BX23,BX25,BX27,BX29,BX31,BX33,BX35,BX37,BX39,BX41,BX43)</f>
        <v>0</v>
      </c>
      <c r="BY48" s="59"/>
      <c r="BZ48" s="59">
        <f>+SUM(BZ7,BZ9,BZ11,BZ13,BZ15,BZ17,BZ19,BZ21,BZ23,BZ25,BZ27,BZ29,BZ31,BZ33,BZ35,BZ37,BZ39,BZ41,BZ43)</f>
        <v>0</v>
      </c>
      <c r="CA48" s="59"/>
      <c r="CB48" s="59">
        <f>+SUM(CB7,CB9,CB11,CB13,CB15,CB17,CB19,CB21,CB23,CB25,CB27,CB29,CB31,CB33,CB35,CB37,CB39,CB41,CB43)</f>
        <v>0</v>
      </c>
      <c r="CC48" s="59"/>
      <c r="CD48" s="59">
        <f>+SUM(CD7,CD9,CD11,CD13,CD15,CD17,CD19,CD21,CD23,CD25,CD27,CD29,CD31,CD33,CD35,CD37,CD39,CD41,CD43)</f>
        <v>0</v>
      </c>
      <c r="CE48" s="9"/>
      <c r="CG48" s="697"/>
      <c r="CH48" s="151"/>
      <c r="CI48" s="154">
        <f t="shared" si="62"/>
        <v>0</v>
      </c>
      <c r="CJ48" s="154">
        <f t="shared" si="62"/>
        <v>0</v>
      </c>
      <c r="CK48" s="155">
        <f t="shared" si="62"/>
        <v>0</v>
      </c>
      <c r="CL48" s="59"/>
      <c r="CM48" s="59">
        <f>+SUM(CM7,CM9,CM11,CM13,CM15,CM17,CM19,CM21,CM23,CM25,CM27,CM29,CM31,CM33,CM35,CM37,CM39,CM41,CM43)</f>
        <v>0</v>
      </c>
      <c r="CN48" s="59"/>
      <c r="CO48" s="59">
        <f>+SUM(CO7,CO9,CO11,CO13,CO15,CO17,CO19,CO21,CO23,CO25,CO27,CO29,CO31,CO33,CO35,CO37,CO39,CO41,CO43)</f>
        <v>0</v>
      </c>
      <c r="CP48" s="59"/>
      <c r="CQ48" s="59">
        <f>+SUM(CQ7,CQ9,CQ11,CQ13,CQ15,CQ17,CQ19,CQ21,CQ23,CQ25,CQ27,CQ29,CQ31,CQ33,CQ35,CQ37,CQ39,CQ41,CQ43)</f>
        <v>0</v>
      </c>
      <c r="CR48" s="59"/>
      <c r="CS48" s="59">
        <f>+SUM(CS7,CS9,CS11,CS13,CS15,CS17,CS19,CS21,CS23,CS25,CS27,CS29,CS31,CS33,CS35,CS37,CS39,CS41,CS43)</f>
        <v>0</v>
      </c>
      <c r="CT48" s="9"/>
      <c r="CV48" s="697"/>
      <c r="CW48" s="151"/>
      <c r="CX48" s="154">
        <f t="shared" si="63"/>
        <v>0</v>
      </c>
      <c r="CY48" s="154">
        <f t="shared" si="63"/>
        <v>0</v>
      </c>
      <c r="CZ48" s="155">
        <f t="shared" si="63"/>
        <v>0</v>
      </c>
      <c r="DA48" s="59"/>
      <c r="DB48" s="59">
        <f>+SUM(DB7,DB9,DB11,DB13,DB15,DB17,DB19,DB21,DB23,DB25,DB27,DB29,DB31,DB33,DB35,DB37,DB39,DB41,DB43)</f>
        <v>0</v>
      </c>
      <c r="DC48" s="59"/>
      <c r="DD48" s="59">
        <f>+SUM(DD7,DD9,DD11,DD13,DD15,DD17,DD19,DD21,DD23,DD25,DD27,DD29,DD31,DD33,DD35,DD37,DD39,DD41,DD43)</f>
        <v>0</v>
      </c>
      <c r="DE48" s="59"/>
      <c r="DF48" s="59">
        <f>+SUM(DF7,DF9,DF11,DF13,DF15,DF17,DF19,DF21,DF23,DF25,DF27,DF29,DF31,DF33,DF35,DF37,DF39,DF41,DF43)</f>
        <v>0</v>
      </c>
      <c r="DG48" s="59"/>
      <c r="DH48" s="59">
        <f>+SUM(DH7,DH9,DH11,DH13,DH15,DH17,DH19,DH21,DH23,DH25,DH27,DH29,DH31,DH33,DH35,DH37,DH39,DH41,DH43)</f>
        <v>0</v>
      </c>
      <c r="DI48" s="9"/>
      <c r="DK48" s="697"/>
      <c r="DL48" s="151"/>
      <c r="DM48" s="154">
        <f t="shared" si="64"/>
        <v>0</v>
      </c>
      <c r="DN48" s="154">
        <f t="shared" si="64"/>
        <v>0</v>
      </c>
      <c r="DO48" s="155">
        <f t="shared" si="64"/>
        <v>0</v>
      </c>
      <c r="DP48" s="59"/>
      <c r="DQ48" s="59">
        <f>+SUM(DQ7,DQ9,DQ11,DQ13,DQ15,DQ17,DQ19,DQ21,DQ23,DQ25,DQ27,DQ29,DQ31,DQ33,DQ35,DQ37,DQ39,DQ41,DQ43)</f>
        <v>0</v>
      </c>
      <c r="DR48" s="59"/>
      <c r="DS48" s="59">
        <f>+SUM(DS7,DS9,DS11,DS13,DS15,DS17,DS19,DS21,DS23,DS25,DS27,DS29,DS31,DS33,DS35,DS37,DS39,DS41,DS43)</f>
        <v>0</v>
      </c>
      <c r="DT48" s="59"/>
      <c r="DU48" s="59">
        <f>+SUM(DU7,DU9,DU11,DU13,DU15,DU17,DU19,DU21,DU23,DU25,DU27,DU29,DU31,DU33,DU35,DU37,DU39,DU41,DU43)</f>
        <v>0</v>
      </c>
      <c r="DV48" s="59"/>
      <c r="DW48" s="59">
        <f>+SUM(DW7,DW9,DW11,DW13,DW15,DW17,DW19,DW21,DW23,DW25,DW27,DW29,DW31,DW33,DW35,DW37,DW39,DW41,DW43)</f>
        <v>0</v>
      </c>
      <c r="DX48" s="9"/>
    </row>
    <row r="50" spans="10:22">
      <c r="J50" s="81"/>
      <c r="K50" s="84"/>
      <c r="M50" s="60"/>
      <c r="N50" s="60"/>
      <c r="P50" s="60"/>
      <c r="Q50" s="60"/>
      <c r="R50" s="60"/>
      <c r="S50" s="60"/>
      <c r="T50" s="60"/>
    </row>
    <row r="51" spans="10:22">
      <c r="J51" s="82"/>
      <c r="K51" s="84"/>
      <c r="M51" s="60"/>
      <c r="N51" s="60"/>
      <c r="P51" s="60"/>
      <c r="Q51" s="60"/>
      <c r="R51" s="60"/>
      <c r="S51" s="60"/>
      <c r="T51" s="60"/>
    </row>
    <row r="52" spans="10:22">
      <c r="J52" s="83"/>
      <c r="K52" s="84"/>
      <c r="V52" s="84"/>
    </row>
    <row r="53" spans="10:22">
      <c r="K53" s="84"/>
      <c r="V53" s="84"/>
    </row>
    <row r="54" spans="10:22">
      <c r="J54" s="81"/>
      <c r="K54" s="84"/>
      <c r="M54" s="84"/>
      <c r="N54" s="84"/>
      <c r="P54" s="84"/>
      <c r="Q54" s="84"/>
      <c r="R54" s="84"/>
      <c r="S54" s="84"/>
      <c r="T54" s="84"/>
      <c r="V54" s="84"/>
    </row>
    <row r="55" spans="10:22">
      <c r="K55" s="84"/>
      <c r="M55" s="84"/>
      <c r="N55" s="84"/>
      <c r="P55" s="84"/>
      <c r="Q55" s="84"/>
      <c r="R55" s="84"/>
      <c r="S55" s="84"/>
      <c r="T55" s="84"/>
      <c r="V55" s="84"/>
    </row>
  </sheetData>
  <mergeCells count="405">
    <mergeCell ref="DI2:DI3"/>
    <mergeCell ref="DL2:DW3"/>
    <mergeCell ref="DX2:DX3"/>
    <mergeCell ref="AO2:AZ3"/>
    <mergeCell ref="BA2:BA3"/>
    <mergeCell ref="BD2:BO3"/>
    <mergeCell ref="BP2:BP3"/>
    <mergeCell ref="BS2:CD3"/>
    <mergeCell ref="CE2:CE3"/>
    <mergeCell ref="B4:B5"/>
    <mergeCell ref="C4:C5"/>
    <mergeCell ref="D4:D5"/>
    <mergeCell ref="E4:E5"/>
    <mergeCell ref="F4:F5"/>
    <mergeCell ref="G4:G5"/>
    <mergeCell ref="CH2:CS3"/>
    <mergeCell ref="CT2:CT3"/>
    <mergeCell ref="CW2:DH3"/>
    <mergeCell ref="C2:G3"/>
    <mergeCell ref="H2:H3"/>
    <mergeCell ref="K2:V3"/>
    <mergeCell ref="W2:W3"/>
    <mergeCell ref="Z2:AK3"/>
    <mergeCell ref="AL2:AL3"/>
    <mergeCell ref="W4:W5"/>
    <mergeCell ref="Y4:Y5"/>
    <mergeCell ref="AD4:AE4"/>
    <mergeCell ref="AF4:AG4"/>
    <mergeCell ref="AH4:AI4"/>
    <mergeCell ref="AJ4:AK4"/>
    <mergeCell ref="H4:H5"/>
    <mergeCell ref="J4:J5"/>
    <mergeCell ref="O4:P4"/>
    <mergeCell ref="Q4:R4"/>
    <mergeCell ref="S4:T4"/>
    <mergeCell ref="U4:V4"/>
    <mergeCell ref="BA4:BA5"/>
    <mergeCell ref="BC4:BC5"/>
    <mergeCell ref="BH4:BI4"/>
    <mergeCell ref="BJ4:BK4"/>
    <mergeCell ref="BL4:BM4"/>
    <mergeCell ref="BN4:BO4"/>
    <mergeCell ref="AL4:AL5"/>
    <mergeCell ref="AN4:AN5"/>
    <mergeCell ref="AS4:AT4"/>
    <mergeCell ref="AU4:AV4"/>
    <mergeCell ref="AW4:AX4"/>
    <mergeCell ref="AY4:AZ4"/>
    <mergeCell ref="CL4:CM4"/>
    <mergeCell ref="CN4:CO4"/>
    <mergeCell ref="CP4:CQ4"/>
    <mergeCell ref="CR4:CS4"/>
    <mergeCell ref="BP4:BP5"/>
    <mergeCell ref="BR4:BR5"/>
    <mergeCell ref="BW4:BX4"/>
    <mergeCell ref="BY4:BZ4"/>
    <mergeCell ref="CA4:CB4"/>
    <mergeCell ref="CC4:CD4"/>
    <mergeCell ref="DX4:DX5"/>
    <mergeCell ref="B6:B7"/>
    <mergeCell ref="J6:J7"/>
    <mergeCell ref="K6:K7"/>
    <mergeCell ref="Y6:Y7"/>
    <mergeCell ref="Z6:Z7"/>
    <mergeCell ref="AN6:AN7"/>
    <mergeCell ref="AO6:AO7"/>
    <mergeCell ref="BC6:BC7"/>
    <mergeCell ref="BD6:BD7"/>
    <mergeCell ref="DI4:DI5"/>
    <mergeCell ref="DK4:DK5"/>
    <mergeCell ref="DP4:DQ4"/>
    <mergeCell ref="DR4:DS4"/>
    <mergeCell ref="DT4:DU4"/>
    <mergeCell ref="DV4:DW4"/>
    <mergeCell ref="CT4:CT5"/>
    <mergeCell ref="CV4:CV5"/>
    <mergeCell ref="DA4:DB4"/>
    <mergeCell ref="DC4:DD4"/>
    <mergeCell ref="DE4:DF4"/>
    <mergeCell ref="DG4:DH4"/>
    <mergeCell ref="CE4:CE5"/>
    <mergeCell ref="CG4:CG5"/>
    <mergeCell ref="DL6:DL7"/>
    <mergeCell ref="B8:B9"/>
    <mergeCell ref="J8:J9"/>
    <mergeCell ref="K8:K9"/>
    <mergeCell ref="Y8:Y9"/>
    <mergeCell ref="Z8:Z9"/>
    <mergeCell ref="AN8:AN9"/>
    <mergeCell ref="AO8:AO9"/>
    <mergeCell ref="BC8:BC9"/>
    <mergeCell ref="BR6:BR7"/>
    <mergeCell ref="BS6:BS7"/>
    <mergeCell ref="CG6:CG7"/>
    <mergeCell ref="CH6:CH7"/>
    <mergeCell ref="CV6:CV7"/>
    <mergeCell ref="CW6:CW7"/>
    <mergeCell ref="CW8:CW9"/>
    <mergeCell ref="DK8:DK9"/>
    <mergeCell ref="DL8:DL9"/>
    <mergeCell ref="BS8:BS9"/>
    <mergeCell ref="CG8:CG9"/>
    <mergeCell ref="CH8:CH9"/>
    <mergeCell ref="CV8:CV9"/>
    <mergeCell ref="Z10:Z11"/>
    <mergeCell ref="AN10:AN11"/>
    <mergeCell ref="AO10:AO11"/>
    <mergeCell ref="BD8:BD9"/>
    <mergeCell ref="BR8:BR9"/>
    <mergeCell ref="DK6:DK7"/>
    <mergeCell ref="CV10:CV11"/>
    <mergeCell ref="CW10:CW11"/>
    <mergeCell ref="DK10:DK11"/>
    <mergeCell ref="DL10:DL11"/>
    <mergeCell ref="B12:B13"/>
    <mergeCell ref="J12:J13"/>
    <mergeCell ref="K12:K13"/>
    <mergeCell ref="Y12:Y13"/>
    <mergeCell ref="Z12:Z13"/>
    <mergeCell ref="AN12:AN13"/>
    <mergeCell ref="BC10:BC11"/>
    <mergeCell ref="BD10:BD11"/>
    <mergeCell ref="BR10:BR11"/>
    <mergeCell ref="BS10:BS11"/>
    <mergeCell ref="CG10:CG11"/>
    <mergeCell ref="CH10:CH11"/>
    <mergeCell ref="CH12:CH13"/>
    <mergeCell ref="CV12:CV13"/>
    <mergeCell ref="CW12:CW13"/>
    <mergeCell ref="DK12:DK13"/>
    <mergeCell ref="DL12:DL13"/>
    <mergeCell ref="BS12:BS13"/>
    <mergeCell ref="CG12:CG13"/>
    <mergeCell ref="B10:B11"/>
    <mergeCell ref="J10:J11"/>
    <mergeCell ref="K10:K11"/>
    <mergeCell ref="Y10:Y11"/>
    <mergeCell ref="B14:B15"/>
    <mergeCell ref="J14:J15"/>
    <mergeCell ref="K14:K15"/>
    <mergeCell ref="Y14:Y15"/>
    <mergeCell ref="Z14:Z15"/>
    <mergeCell ref="AO12:AO13"/>
    <mergeCell ref="BC12:BC13"/>
    <mergeCell ref="BD12:BD13"/>
    <mergeCell ref="BR12:BR13"/>
    <mergeCell ref="CG14:CG15"/>
    <mergeCell ref="CH14:CH15"/>
    <mergeCell ref="CV14:CV15"/>
    <mergeCell ref="CW14:CW15"/>
    <mergeCell ref="DK14:DK15"/>
    <mergeCell ref="DL14:DL15"/>
    <mergeCell ref="AN14:AN15"/>
    <mergeCell ref="AO14:AO15"/>
    <mergeCell ref="BC14:BC15"/>
    <mergeCell ref="BD14:BD15"/>
    <mergeCell ref="BR14:BR15"/>
    <mergeCell ref="BS14:BS15"/>
    <mergeCell ref="CH16:CH17"/>
    <mergeCell ref="CV16:CV17"/>
    <mergeCell ref="CW16:CW17"/>
    <mergeCell ref="DK16:DK17"/>
    <mergeCell ref="DL16:DL17"/>
    <mergeCell ref="B18:B19"/>
    <mergeCell ref="J18:J19"/>
    <mergeCell ref="K18:K19"/>
    <mergeCell ref="Y18:Y19"/>
    <mergeCell ref="Z18:Z19"/>
    <mergeCell ref="AO16:AO17"/>
    <mergeCell ref="BC16:BC17"/>
    <mergeCell ref="BD16:BD17"/>
    <mergeCell ref="BR16:BR17"/>
    <mergeCell ref="BS16:BS17"/>
    <mergeCell ref="CG16:CG17"/>
    <mergeCell ref="B16:B17"/>
    <mergeCell ref="J16:J17"/>
    <mergeCell ref="K16:K17"/>
    <mergeCell ref="Y16:Y17"/>
    <mergeCell ref="Z16:Z17"/>
    <mergeCell ref="AN16:AN17"/>
    <mergeCell ref="CG18:CG19"/>
    <mergeCell ref="CH18:CH19"/>
    <mergeCell ref="CV18:CV19"/>
    <mergeCell ref="CW18:CW19"/>
    <mergeCell ref="DK18:DK19"/>
    <mergeCell ref="DL18:DL19"/>
    <mergeCell ref="AN18:AN19"/>
    <mergeCell ref="AO18:AO19"/>
    <mergeCell ref="BC18:BC19"/>
    <mergeCell ref="BD18:BD19"/>
    <mergeCell ref="BR18:BR19"/>
    <mergeCell ref="BS18:BS19"/>
    <mergeCell ref="CH20:CH21"/>
    <mergeCell ref="CV20:CV21"/>
    <mergeCell ref="CW20:CW21"/>
    <mergeCell ref="DK20:DK21"/>
    <mergeCell ref="DL20:DL21"/>
    <mergeCell ref="B22:B23"/>
    <mergeCell ref="J22:J23"/>
    <mergeCell ref="K22:K23"/>
    <mergeCell ref="Y22:Y23"/>
    <mergeCell ref="Z22:Z23"/>
    <mergeCell ref="AO20:AO21"/>
    <mergeCell ref="BC20:BC21"/>
    <mergeCell ref="BD20:BD21"/>
    <mergeCell ref="BR20:BR21"/>
    <mergeCell ref="BS20:BS21"/>
    <mergeCell ref="CG20:CG21"/>
    <mergeCell ref="B20:B21"/>
    <mergeCell ref="J20:J21"/>
    <mergeCell ref="K20:K21"/>
    <mergeCell ref="Y20:Y21"/>
    <mergeCell ref="Z20:Z21"/>
    <mergeCell ref="AN20:AN21"/>
    <mergeCell ref="CG22:CG23"/>
    <mergeCell ref="CH22:CH23"/>
    <mergeCell ref="CV22:CV23"/>
    <mergeCell ref="CW22:CW23"/>
    <mergeCell ref="DK22:DK23"/>
    <mergeCell ref="DL22:DL23"/>
    <mergeCell ref="AN22:AN23"/>
    <mergeCell ref="AO22:AO23"/>
    <mergeCell ref="BC22:BC23"/>
    <mergeCell ref="BD22:BD23"/>
    <mergeCell ref="BR22:BR23"/>
    <mergeCell ref="BS22:BS23"/>
    <mergeCell ref="CH24:CH25"/>
    <mergeCell ref="CV24:CV25"/>
    <mergeCell ref="CW24:CW25"/>
    <mergeCell ref="DK24:DK25"/>
    <mergeCell ref="DL24:DL25"/>
    <mergeCell ref="B26:B27"/>
    <mergeCell ref="J26:J27"/>
    <mergeCell ref="K26:K27"/>
    <mergeCell ref="Y26:Y27"/>
    <mergeCell ref="Z26:Z27"/>
    <mergeCell ref="AO24:AO25"/>
    <mergeCell ref="BC24:BC25"/>
    <mergeCell ref="BD24:BD25"/>
    <mergeCell ref="BR24:BR25"/>
    <mergeCell ref="BS24:BS25"/>
    <mergeCell ref="CG24:CG25"/>
    <mergeCell ref="B24:B25"/>
    <mergeCell ref="J24:J25"/>
    <mergeCell ref="K24:K25"/>
    <mergeCell ref="Y24:Y25"/>
    <mergeCell ref="Z24:Z25"/>
    <mergeCell ref="AN24:AN25"/>
    <mergeCell ref="CG26:CG27"/>
    <mergeCell ref="CH26:CH27"/>
    <mergeCell ref="CV26:CV27"/>
    <mergeCell ref="CW26:CW27"/>
    <mergeCell ref="DK26:DK27"/>
    <mergeCell ref="DL26:DL27"/>
    <mergeCell ref="AN26:AN27"/>
    <mergeCell ref="AO26:AO27"/>
    <mergeCell ref="BC26:BC27"/>
    <mergeCell ref="BD26:BD27"/>
    <mergeCell ref="BR26:BR27"/>
    <mergeCell ref="BS26:BS27"/>
    <mergeCell ref="CH28:CH29"/>
    <mergeCell ref="CV28:CV29"/>
    <mergeCell ref="CW28:CW29"/>
    <mergeCell ref="DK28:DK29"/>
    <mergeCell ref="DL28:DL29"/>
    <mergeCell ref="B30:B31"/>
    <mergeCell ref="J30:J31"/>
    <mergeCell ref="K30:K31"/>
    <mergeCell ref="Y30:Y31"/>
    <mergeCell ref="Z30:Z31"/>
    <mergeCell ref="AO28:AO29"/>
    <mergeCell ref="BC28:BC29"/>
    <mergeCell ref="BD28:BD29"/>
    <mergeCell ref="BR28:BR29"/>
    <mergeCell ref="BS28:BS29"/>
    <mergeCell ref="CG28:CG29"/>
    <mergeCell ref="B28:B29"/>
    <mergeCell ref="J28:J29"/>
    <mergeCell ref="K28:K29"/>
    <mergeCell ref="Y28:Y29"/>
    <mergeCell ref="Z28:Z29"/>
    <mergeCell ref="AN28:AN29"/>
    <mergeCell ref="CG30:CG31"/>
    <mergeCell ref="CH30:CH31"/>
    <mergeCell ref="CV30:CV31"/>
    <mergeCell ref="CW30:CW31"/>
    <mergeCell ref="DK30:DK31"/>
    <mergeCell ref="DL30:DL31"/>
    <mergeCell ref="AN30:AN31"/>
    <mergeCell ref="AO30:AO31"/>
    <mergeCell ref="BC30:BC31"/>
    <mergeCell ref="BD30:BD31"/>
    <mergeCell ref="BR30:BR31"/>
    <mergeCell ref="BS30:BS31"/>
    <mergeCell ref="CH32:CH33"/>
    <mergeCell ref="CV32:CV33"/>
    <mergeCell ref="CW32:CW33"/>
    <mergeCell ref="DK32:DK33"/>
    <mergeCell ref="DL32:DL33"/>
    <mergeCell ref="B34:B35"/>
    <mergeCell ref="J34:J35"/>
    <mergeCell ref="K34:K35"/>
    <mergeCell ref="Y34:Y35"/>
    <mergeCell ref="Z34:Z35"/>
    <mergeCell ref="AO32:AO33"/>
    <mergeCell ref="BC32:BC33"/>
    <mergeCell ref="BD32:BD33"/>
    <mergeCell ref="BR32:BR33"/>
    <mergeCell ref="BS32:BS33"/>
    <mergeCell ref="CG32:CG33"/>
    <mergeCell ref="B32:B33"/>
    <mergeCell ref="J32:J33"/>
    <mergeCell ref="K32:K33"/>
    <mergeCell ref="Y32:Y33"/>
    <mergeCell ref="Z32:Z33"/>
    <mergeCell ref="AN32:AN33"/>
    <mergeCell ref="CG34:CG35"/>
    <mergeCell ref="CH34:CH35"/>
    <mergeCell ref="CV34:CV35"/>
    <mergeCell ref="CW34:CW35"/>
    <mergeCell ref="DK34:DK35"/>
    <mergeCell ref="DL34:DL35"/>
    <mergeCell ref="AN34:AN35"/>
    <mergeCell ref="AO34:AO35"/>
    <mergeCell ref="BC34:BC35"/>
    <mergeCell ref="BD34:BD35"/>
    <mergeCell ref="BR34:BR35"/>
    <mergeCell ref="BS34:BS35"/>
    <mergeCell ref="CH36:CH37"/>
    <mergeCell ref="CV36:CV37"/>
    <mergeCell ref="CW36:CW37"/>
    <mergeCell ref="DK36:DK37"/>
    <mergeCell ref="DL36:DL37"/>
    <mergeCell ref="B38:B39"/>
    <mergeCell ref="J38:J39"/>
    <mergeCell ref="K38:K39"/>
    <mergeCell ref="Y38:Y39"/>
    <mergeCell ref="Z38:Z39"/>
    <mergeCell ref="AO36:AO37"/>
    <mergeCell ref="BC36:BC37"/>
    <mergeCell ref="BD36:BD37"/>
    <mergeCell ref="BR36:BR37"/>
    <mergeCell ref="BS36:BS37"/>
    <mergeCell ref="CG36:CG37"/>
    <mergeCell ref="B36:B37"/>
    <mergeCell ref="J36:J37"/>
    <mergeCell ref="K36:K37"/>
    <mergeCell ref="Y36:Y37"/>
    <mergeCell ref="Z36:Z37"/>
    <mergeCell ref="AN36:AN37"/>
    <mergeCell ref="CG38:CG39"/>
    <mergeCell ref="CH38:CH39"/>
    <mergeCell ref="CV38:CV39"/>
    <mergeCell ref="CW38:CW39"/>
    <mergeCell ref="DK38:DK39"/>
    <mergeCell ref="DL38:DL39"/>
    <mergeCell ref="AN38:AN39"/>
    <mergeCell ref="AO38:AO39"/>
    <mergeCell ref="BC38:BC39"/>
    <mergeCell ref="BD38:BD39"/>
    <mergeCell ref="BR38:BR39"/>
    <mergeCell ref="BS38:BS39"/>
    <mergeCell ref="CH40:CH41"/>
    <mergeCell ref="CV40:CV41"/>
    <mergeCell ref="CW40:CW41"/>
    <mergeCell ref="DK40:DK41"/>
    <mergeCell ref="DL40:DL41"/>
    <mergeCell ref="B42:B43"/>
    <mergeCell ref="J42:J43"/>
    <mergeCell ref="K42:K43"/>
    <mergeCell ref="Y42:Y43"/>
    <mergeCell ref="Z42:Z43"/>
    <mergeCell ref="AO40:AO41"/>
    <mergeCell ref="BC40:BC41"/>
    <mergeCell ref="BD40:BD41"/>
    <mergeCell ref="BR40:BR41"/>
    <mergeCell ref="BS40:BS41"/>
    <mergeCell ref="CG40:CG41"/>
    <mergeCell ref="B40:B41"/>
    <mergeCell ref="J40:J41"/>
    <mergeCell ref="K40:K41"/>
    <mergeCell ref="Y40:Y41"/>
    <mergeCell ref="Z40:Z41"/>
    <mergeCell ref="AN40:AN41"/>
    <mergeCell ref="CG42:CG43"/>
    <mergeCell ref="CH42:CH43"/>
    <mergeCell ref="CV42:CV43"/>
    <mergeCell ref="CW42:CW43"/>
    <mergeCell ref="DK42:DK43"/>
    <mergeCell ref="DL42:DL43"/>
    <mergeCell ref="AN42:AN43"/>
    <mergeCell ref="AO42:AO43"/>
    <mergeCell ref="BC42:BC43"/>
    <mergeCell ref="BD42:BD43"/>
    <mergeCell ref="BR42:BR43"/>
    <mergeCell ref="BS42:BS43"/>
    <mergeCell ref="CG47:CG48"/>
    <mergeCell ref="CV47:CV48"/>
    <mergeCell ref="DK47:DK48"/>
    <mergeCell ref="B47:B48"/>
    <mergeCell ref="J47:J48"/>
    <mergeCell ref="Y47:Y48"/>
    <mergeCell ref="AN47:AN48"/>
    <mergeCell ref="BC47:BC48"/>
    <mergeCell ref="BR47:BR48"/>
  </mergeCells>
  <phoneticPr fontId="3"/>
  <hyperlinks>
    <hyperlink ref="A1" location="menu!A1" display="menu" xr:uid="{00000000-0004-0000-2900-000000000000}"/>
  </hyperlinks>
  <printOptions horizontalCentered="1"/>
  <pageMargins left="0.78740157480314965" right="0.19685039370078741" top="0.74803149606299213" bottom="0.74803149606299213" header="0.31496062992125984" footer="0.31496062992125984"/>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R49"/>
  <sheetViews>
    <sheetView showGridLines="0" showZeros="0" view="pageBreakPreview" topLeftCell="AJ1" zoomScaleNormal="100" zoomScaleSheetLayoutView="100" workbookViewId="0">
      <selection activeCell="BF35" sqref="BF5:BK36"/>
    </sheetView>
  </sheetViews>
  <sheetFormatPr defaultRowHeight="18.75"/>
  <cols>
    <col min="2" max="2" width="20.625" customWidth="1"/>
    <col min="3" max="3" width="23.625" customWidth="1"/>
    <col min="4" max="4" width="5.625" customWidth="1"/>
    <col min="5" max="6" width="10.625" customWidth="1"/>
    <col min="7" max="7" width="29.625" customWidth="1"/>
    <col min="8" max="8" width="2.625" customWidth="1"/>
    <col min="9" max="9" width="20.625" customWidth="1"/>
    <col min="10" max="10" width="23.625" customWidth="1"/>
    <col min="11" max="11" width="5.625" customWidth="1"/>
    <col min="12" max="13" width="10.625" customWidth="1"/>
    <col min="14" max="14" width="29.625" customWidth="1"/>
    <col min="15" max="15" width="2.625" customWidth="1"/>
    <col min="16" max="16" width="20.625" customWidth="1"/>
    <col min="17" max="17" width="23.625" customWidth="1"/>
    <col min="18" max="18" width="5.625" customWidth="1"/>
    <col min="19" max="20" width="10.625" customWidth="1"/>
    <col min="21" max="21" width="29.625" customWidth="1"/>
    <col min="22" max="22" width="2.625" customWidth="1"/>
    <col min="23" max="23" width="20.625" customWidth="1"/>
    <col min="24" max="24" width="23.625" customWidth="1"/>
    <col min="25" max="25" width="5.625" customWidth="1"/>
    <col min="26" max="27" width="10.625" customWidth="1"/>
    <col min="28" max="28" width="29.625" customWidth="1"/>
    <col min="29" max="29" width="2.625" customWidth="1"/>
    <col min="30" max="31" width="20.625" customWidth="1"/>
    <col min="32" max="32" width="5.625" customWidth="1"/>
    <col min="33" max="34" width="10.625" customWidth="1"/>
    <col min="35" max="35" width="29.625" customWidth="1"/>
    <col min="36" max="36" width="2.625" customWidth="1"/>
    <col min="37" max="38" width="20.625" hidden="1" customWidth="1"/>
    <col min="39" max="39" width="5.625" hidden="1" customWidth="1"/>
    <col min="40" max="41" width="10.625" hidden="1" customWidth="1"/>
    <col min="42" max="42" width="29.625" hidden="1" customWidth="1"/>
    <col min="43" max="43" width="2.625" hidden="1" customWidth="1"/>
    <col min="44" max="45" width="20.625" hidden="1" customWidth="1"/>
    <col min="46" max="46" width="5.625" hidden="1" customWidth="1"/>
    <col min="47" max="48" width="10.625" hidden="1" customWidth="1"/>
    <col min="49" max="49" width="29.625" hidden="1" customWidth="1"/>
    <col min="50" max="50" width="2.625" hidden="1" customWidth="1"/>
    <col min="51" max="52" width="20.625" customWidth="1"/>
    <col min="53" max="53" width="5.625" customWidth="1"/>
    <col min="54" max="54" width="10.625" customWidth="1"/>
    <col min="55" max="55" width="26.625" customWidth="1"/>
    <col min="56" max="56" width="15.625" customWidth="1"/>
    <col min="57" max="57" width="2.625" customWidth="1"/>
    <col min="58" max="59" width="20.625" customWidth="1"/>
    <col min="60" max="60" width="5.625" customWidth="1"/>
    <col min="61" max="61" width="10.625" customWidth="1"/>
    <col min="62" max="62" width="26.625" customWidth="1"/>
    <col min="63" max="63" width="15.625" customWidth="1"/>
    <col min="64" max="64" width="2.625" customWidth="1"/>
    <col min="65" max="66" width="20.625" hidden="1" customWidth="1"/>
    <col min="67" max="67" width="5.625" hidden="1" customWidth="1"/>
    <col min="68" max="68" width="10.625" hidden="1" customWidth="1"/>
    <col min="69" max="69" width="26.625" hidden="1" customWidth="1"/>
    <col min="70" max="70" width="15.625" hidden="1" customWidth="1"/>
  </cols>
  <sheetData>
    <row r="1" spans="1:70">
      <c r="A1" s="298" t="s">
        <v>476</v>
      </c>
    </row>
    <row r="2" spans="1:70" ht="18.75" customHeight="1">
      <c r="B2" s="674" t="s">
        <v>337</v>
      </c>
      <c r="C2" s="675"/>
      <c r="D2" s="90"/>
      <c r="E2" s="675" t="s">
        <v>90</v>
      </c>
      <c r="F2" s="675"/>
      <c r="G2" s="680" t="s">
        <v>9</v>
      </c>
      <c r="I2" s="674" t="s">
        <v>337</v>
      </c>
      <c r="J2" s="675"/>
      <c r="K2" s="90"/>
      <c r="L2" s="675" t="s">
        <v>243</v>
      </c>
      <c r="M2" s="675"/>
      <c r="N2" s="680" t="s">
        <v>9</v>
      </c>
      <c r="P2" s="674" t="s">
        <v>337</v>
      </c>
      <c r="Q2" s="675"/>
      <c r="R2" s="90"/>
      <c r="S2" s="675" t="s">
        <v>289</v>
      </c>
      <c r="T2" s="675"/>
      <c r="U2" s="680" t="s">
        <v>9</v>
      </c>
      <c r="W2" s="674" t="s">
        <v>337</v>
      </c>
      <c r="X2" s="675"/>
      <c r="Y2" s="90"/>
      <c r="Z2" s="675" t="s">
        <v>258</v>
      </c>
      <c r="AA2" s="675"/>
      <c r="AB2" s="680" t="s">
        <v>9</v>
      </c>
      <c r="AD2" s="674" t="s">
        <v>337</v>
      </c>
      <c r="AE2" s="675"/>
      <c r="AF2" s="90"/>
      <c r="AG2" s="688" t="s">
        <v>348</v>
      </c>
      <c r="AH2" s="688"/>
      <c r="AI2" s="680" t="s">
        <v>9</v>
      </c>
      <c r="AK2" s="674" t="s">
        <v>349</v>
      </c>
      <c r="AL2" s="675"/>
      <c r="AM2" s="90"/>
      <c r="AN2" s="675" t="s">
        <v>10</v>
      </c>
      <c r="AO2" s="675"/>
      <c r="AP2" s="680" t="s">
        <v>9</v>
      </c>
      <c r="AR2" s="674" t="s">
        <v>349</v>
      </c>
      <c r="AS2" s="675"/>
      <c r="AT2" s="90"/>
      <c r="AU2" s="675" t="s">
        <v>243</v>
      </c>
      <c r="AV2" s="675"/>
      <c r="AW2" s="680" t="s">
        <v>9</v>
      </c>
      <c r="AY2" s="674" t="s">
        <v>337</v>
      </c>
      <c r="AZ2" s="675"/>
      <c r="BA2" s="90"/>
      <c r="BB2" s="675" t="s">
        <v>913</v>
      </c>
      <c r="BC2" s="675"/>
      <c r="BD2" s="680" t="s">
        <v>9</v>
      </c>
      <c r="BF2" s="674" t="s">
        <v>337</v>
      </c>
      <c r="BG2" s="675"/>
      <c r="BH2" s="90"/>
      <c r="BI2" s="675" t="s">
        <v>913</v>
      </c>
      <c r="BJ2" s="675"/>
      <c r="BK2" s="680" t="s">
        <v>9</v>
      </c>
      <c r="BM2" s="674" t="s">
        <v>337</v>
      </c>
      <c r="BN2" s="675"/>
      <c r="BO2" s="90"/>
      <c r="BP2" s="675" t="s">
        <v>362</v>
      </c>
      <c r="BQ2" s="675"/>
      <c r="BR2" s="680" t="s">
        <v>9</v>
      </c>
    </row>
    <row r="3" spans="1:70" ht="18.75" customHeight="1">
      <c r="B3" s="676"/>
      <c r="C3" s="677"/>
      <c r="D3" s="91"/>
      <c r="E3" s="677"/>
      <c r="F3" s="677"/>
      <c r="G3" s="681"/>
      <c r="I3" s="676"/>
      <c r="J3" s="677"/>
      <c r="K3" s="91"/>
      <c r="L3" s="677"/>
      <c r="M3" s="677"/>
      <c r="N3" s="681"/>
      <c r="P3" s="676"/>
      <c r="Q3" s="677"/>
      <c r="R3" s="91"/>
      <c r="S3" s="677"/>
      <c r="T3" s="677"/>
      <c r="U3" s="681"/>
      <c r="W3" s="676"/>
      <c r="X3" s="677"/>
      <c r="Y3" s="91"/>
      <c r="Z3" s="677"/>
      <c r="AA3" s="677"/>
      <c r="AB3" s="681"/>
      <c r="AD3" s="676"/>
      <c r="AE3" s="677"/>
      <c r="AF3" s="91"/>
      <c r="AG3" s="689"/>
      <c r="AH3" s="689"/>
      <c r="AI3" s="681"/>
      <c r="AK3" s="676"/>
      <c r="AL3" s="677"/>
      <c r="AM3" s="91"/>
      <c r="AN3" s="677"/>
      <c r="AO3" s="677"/>
      <c r="AP3" s="681"/>
      <c r="AR3" s="676"/>
      <c r="AS3" s="677"/>
      <c r="AT3" s="91"/>
      <c r="AU3" s="677"/>
      <c r="AV3" s="677"/>
      <c r="AW3" s="681"/>
      <c r="AY3" s="676"/>
      <c r="AZ3" s="677"/>
      <c r="BA3" s="91"/>
      <c r="BB3" s="677"/>
      <c r="BC3" s="677"/>
      <c r="BD3" s="681"/>
      <c r="BF3" s="676"/>
      <c r="BG3" s="677"/>
      <c r="BH3" s="91"/>
      <c r="BI3" s="677"/>
      <c r="BJ3" s="677"/>
      <c r="BK3" s="681"/>
      <c r="BM3" s="676"/>
      <c r="BN3" s="677"/>
      <c r="BO3" s="91"/>
      <c r="BP3" s="677"/>
      <c r="BQ3" s="677"/>
      <c r="BR3" s="681"/>
    </row>
    <row r="4" spans="1:70" ht="19.5" thickBot="1">
      <c r="B4" s="24" t="s">
        <v>5</v>
      </c>
      <c r="C4" s="25" t="s">
        <v>1</v>
      </c>
      <c r="D4" s="25" t="s">
        <v>3</v>
      </c>
      <c r="E4" s="25" t="s">
        <v>91</v>
      </c>
      <c r="F4" s="25" t="s">
        <v>92</v>
      </c>
      <c r="G4" s="25" t="s">
        <v>8</v>
      </c>
      <c r="I4" s="24" t="s">
        <v>5</v>
      </c>
      <c r="J4" s="25" t="s">
        <v>1</v>
      </c>
      <c r="K4" s="25" t="s">
        <v>3</v>
      </c>
      <c r="L4" s="25" t="s">
        <v>91</v>
      </c>
      <c r="M4" s="25" t="s">
        <v>92</v>
      </c>
      <c r="N4" s="25" t="s">
        <v>8</v>
      </c>
      <c r="P4" s="24" t="s">
        <v>5</v>
      </c>
      <c r="Q4" s="25" t="s">
        <v>1</v>
      </c>
      <c r="R4" s="25" t="s">
        <v>3</v>
      </c>
      <c r="S4" s="25" t="s">
        <v>91</v>
      </c>
      <c r="T4" s="25" t="s">
        <v>92</v>
      </c>
      <c r="U4" s="25" t="s">
        <v>8</v>
      </c>
      <c r="W4" s="24" t="s">
        <v>5</v>
      </c>
      <c r="X4" s="25" t="s">
        <v>1</v>
      </c>
      <c r="Y4" s="25" t="s">
        <v>3</v>
      </c>
      <c r="Z4" s="25" t="s">
        <v>91</v>
      </c>
      <c r="AA4" s="25" t="s">
        <v>92</v>
      </c>
      <c r="AB4" s="25" t="s">
        <v>8</v>
      </c>
      <c r="AD4" s="24" t="s">
        <v>5</v>
      </c>
      <c r="AE4" s="25" t="s">
        <v>1</v>
      </c>
      <c r="AF4" s="25" t="s">
        <v>3</v>
      </c>
      <c r="AG4" s="25" t="s">
        <v>91</v>
      </c>
      <c r="AH4" s="25" t="s">
        <v>92</v>
      </c>
      <c r="AI4" s="25" t="s">
        <v>8</v>
      </c>
      <c r="AK4" s="24" t="s">
        <v>5</v>
      </c>
      <c r="AL4" s="25" t="s">
        <v>1</v>
      </c>
      <c r="AM4" s="25" t="s">
        <v>3</v>
      </c>
      <c r="AN4" s="25" t="s">
        <v>95</v>
      </c>
      <c r="AO4" s="25" t="s">
        <v>92</v>
      </c>
      <c r="AP4" s="25" t="s">
        <v>8</v>
      </c>
      <c r="AR4" s="24" t="s">
        <v>5</v>
      </c>
      <c r="AS4" s="25" t="s">
        <v>1</v>
      </c>
      <c r="AT4" s="25" t="s">
        <v>3</v>
      </c>
      <c r="AU4" s="25" t="s">
        <v>95</v>
      </c>
      <c r="AV4" s="25" t="s">
        <v>92</v>
      </c>
      <c r="AW4" s="25" t="s">
        <v>8</v>
      </c>
      <c r="AY4" s="24" t="s">
        <v>5</v>
      </c>
      <c r="AZ4" s="25" t="s">
        <v>1</v>
      </c>
      <c r="BA4" s="25" t="s">
        <v>3</v>
      </c>
      <c r="BB4" s="25" t="s">
        <v>4</v>
      </c>
      <c r="BC4" s="25" t="s">
        <v>97</v>
      </c>
      <c r="BD4" s="25" t="s">
        <v>8</v>
      </c>
      <c r="BF4" s="24" t="s">
        <v>5</v>
      </c>
      <c r="BG4" s="25" t="s">
        <v>1</v>
      </c>
      <c r="BH4" s="25" t="s">
        <v>3</v>
      </c>
      <c r="BI4" s="25" t="s">
        <v>4</v>
      </c>
      <c r="BJ4" s="25" t="s">
        <v>97</v>
      </c>
      <c r="BK4" s="25" t="s">
        <v>8</v>
      </c>
      <c r="BM4" s="24" t="s">
        <v>5</v>
      </c>
      <c r="BN4" s="25" t="s">
        <v>1</v>
      </c>
      <c r="BO4" s="25" t="s">
        <v>3</v>
      </c>
      <c r="BP4" s="25" t="s">
        <v>4</v>
      </c>
      <c r="BQ4" s="25" t="s">
        <v>97</v>
      </c>
      <c r="BR4" s="25" t="s">
        <v>8</v>
      </c>
    </row>
    <row r="5" spans="1:70" ht="19.5" customHeight="1" thickTop="1">
      <c r="B5" s="682"/>
      <c r="C5" s="683"/>
      <c r="D5" s="30"/>
      <c r="E5" s="37"/>
      <c r="F5" s="37"/>
      <c r="G5" s="43"/>
      <c r="I5" s="682" t="s">
        <v>244</v>
      </c>
      <c r="J5" s="683" t="s">
        <v>869</v>
      </c>
      <c r="K5" s="30" t="s">
        <v>252</v>
      </c>
      <c r="L5" s="37"/>
      <c r="M5" s="37">
        <v>9.5</v>
      </c>
      <c r="N5" s="43" t="s">
        <v>874</v>
      </c>
      <c r="P5" s="682" t="s">
        <v>342</v>
      </c>
      <c r="Q5" s="683" t="s">
        <v>251</v>
      </c>
      <c r="R5" s="30" t="s">
        <v>252</v>
      </c>
      <c r="S5" s="37"/>
      <c r="T5" s="37">
        <v>21.45</v>
      </c>
      <c r="U5" s="43" t="s">
        <v>903</v>
      </c>
      <c r="W5" s="682" t="s">
        <v>346</v>
      </c>
      <c r="X5" s="683" t="s">
        <v>261</v>
      </c>
      <c r="Y5" s="30" t="s">
        <v>22</v>
      </c>
      <c r="Z5" s="37">
        <v>1</v>
      </c>
      <c r="AA5" s="37">
        <v>1</v>
      </c>
      <c r="AB5" s="43"/>
      <c r="AD5" s="783"/>
      <c r="AE5" s="687"/>
      <c r="AF5" s="32"/>
      <c r="AG5" s="39"/>
      <c r="AH5" s="37"/>
      <c r="AI5" s="45"/>
      <c r="AK5" s="682" t="s">
        <v>240</v>
      </c>
      <c r="AL5" s="683" t="s">
        <v>872</v>
      </c>
      <c r="AM5" s="30" t="s">
        <v>242</v>
      </c>
      <c r="AN5" s="37"/>
      <c r="AO5" s="37"/>
      <c r="AP5" s="43"/>
      <c r="AR5" s="682" t="s">
        <v>244</v>
      </c>
      <c r="AS5" s="683" t="s">
        <v>869</v>
      </c>
      <c r="AT5" s="30" t="s">
        <v>17</v>
      </c>
      <c r="AU5" s="37"/>
      <c r="AV5" s="37"/>
      <c r="AW5" s="43" t="s">
        <v>868</v>
      </c>
      <c r="AY5" s="682" t="s">
        <v>647</v>
      </c>
      <c r="AZ5" s="683" t="s">
        <v>280</v>
      </c>
      <c r="BA5" s="30" t="s">
        <v>41</v>
      </c>
      <c r="BB5" s="37">
        <v>5.25</v>
      </c>
      <c r="BC5" s="173" t="s">
        <v>890</v>
      </c>
      <c r="BD5" s="162"/>
      <c r="BF5" s="667" t="s">
        <v>288</v>
      </c>
      <c r="BG5" s="668" t="s">
        <v>359</v>
      </c>
      <c r="BH5" s="32" t="s">
        <v>17</v>
      </c>
      <c r="BI5" s="39">
        <v>6.4</v>
      </c>
      <c r="BJ5" s="173" t="s">
        <v>738</v>
      </c>
      <c r="BK5" s="164" t="s">
        <v>736</v>
      </c>
      <c r="BM5" s="661" t="s">
        <v>265</v>
      </c>
      <c r="BN5" s="668" t="s">
        <v>733</v>
      </c>
      <c r="BO5" s="30" t="s">
        <v>22</v>
      </c>
      <c r="BP5" s="37">
        <v>1</v>
      </c>
      <c r="BQ5" s="101"/>
      <c r="BR5" s="162" t="s">
        <v>734</v>
      </c>
    </row>
    <row r="6" spans="1:70">
      <c r="B6" s="662"/>
      <c r="C6" s="664"/>
      <c r="D6" s="31"/>
      <c r="E6" s="38"/>
      <c r="F6" s="92"/>
      <c r="G6" s="44"/>
      <c r="I6" s="662"/>
      <c r="J6" s="664"/>
      <c r="K6" s="31"/>
      <c r="L6" s="38"/>
      <c r="M6" s="92"/>
      <c r="N6" s="44"/>
      <c r="P6" s="662"/>
      <c r="Q6" s="664"/>
      <c r="R6" s="31"/>
      <c r="S6" s="38"/>
      <c r="T6" s="92"/>
      <c r="U6" s="44"/>
      <c r="W6" s="662"/>
      <c r="X6" s="664"/>
      <c r="Y6" s="31"/>
      <c r="Z6" s="38"/>
      <c r="AA6" s="92"/>
      <c r="AB6" s="44"/>
      <c r="AD6" s="662"/>
      <c r="AE6" s="670"/>
      <c r="AF6" s="31"/>
      <c r="AG6" s="38"/>
      <c r="AH6" s="92"/>
      <c r="AI6" s="44"/>
      <c r="AK6" s="662"/>
      <c r="AL6" s="664"/>
      <c r="AM6" s="31"/>
      <c r="AN6" s="38"/>
      <c r="AO6" s="92"/>
      <c r="AP6" s="44"/>
      <c r="AR6" s="662"/>
      <c r="AS6" s="664"/>
      <c r="AT6" s="31"/>
      <c r="AU6" s="38"/>
      <c r="AV6" s="92"/>
      <c r="AW6" s="44"/>
      <c r="AY6" s="662"/>
      <c r="AZ6" s="664"/>
      <c r="BA6" s="31"/>
      <c r="BB6" s="38"/>
      <c r="BC6" s="174"/>
      <c r="BD6" s="163"/>
      <c r="BF6" s="662"/>
      <c r="BG6" s="664"/>
      <c r="BH6" s="31"/>
      <c r="BI6" s="38"/>
      <c r="BJ6" s="174"/>
      <c r="BK6" s="163"/>
      <c r="BM6" s="662"/>
      <c r="BN6" s="664"/>
      <c r="BO6" s="31"/>
      <c r="BP6" s="38"/>
      <c r="BQ6" s="102"/>
      <c r="BR6" s="163"/>
    </row>
    <row r="7" spans="1:70">
      <c r="B7" s="661"/>
      <c r="C7" s="668"/>
      <c r="D7" s="32"/>
      <c r="E7" s="39"/>
      <c r="F7" s="37"/>
      <c r="G7" s="45"/>
      <c r="I7" s="661" t="s">
        <v>244</v>
      </c>
      <c r="J7" s="668" t="s">
        <v>245</v>
      </c>
      <c r="K7" s="32" t="s">
        <v>252</v>
      </c>
      <c r="L7" s="39"/>
      <c r="M7" s="37">
        <v>9.1</v>
      </c>
      <c r="N7" s="43" t="s">
        <v>875</v>
      </c>
      <c r="P7" s="667" t="s">
        <v>253</v>
      </c>
      <c r="Q7" s="668" t="s">
        <v>344</v>
      </c>
      <c r="R7" s="32" t="s">
        <v>20</v>
      </c>
      <c r="S7" s="39"/>
      <c r="T7" s="37">
        <v>6</v>
      </c>
      <c r="U7" s="45"/>
      <c r="W7" s="661" t="s">
        <v>347</v>
      </c>
      <c r="X7" s="668" t="s">
        <v>262</v>
      </c>
      <c r="Y7" s="32" t="s">
        <v>22</v>
      </c>
      <c r="Z7" s="39">
        <v>1</v>
      </c>
      <c r="AA7" s="37">
        <v>1</v>
      </c>
      <c r="AB7" s="45"/>
      <c r="AD7" s="661"/>
      <c r="AE7" s="668"/>
      <c r="AF7" s="32"/>
      <c r="AG7" s="39"/>
      <c r="AH7" s="37"/>
      <c r="AI7" s="45"/>
      <c r="AK7" s="667" t="s">
        <v>241</v>
      </c>
      <c r="AL7" s="668" t="s">
        <v>751</v>
      </c>
      <c r="AM7" s="32" t="s">
        <v>20</v>
      </c>
      <c r="AN7" s="39"/>
      <c r="AO7" s="37"/>
      <c r="AP7" s="45"/>
      <c r="AR7" s="661" t="s">
        <v>244</v>
      </c>
      <c r="AS7" s="668" t="s">
        <v>245</v>
      </c>
      <c r="AT7" s="32" t="s">
        <v>17</v>
      </c>
      <c r="AU7" s="37"/>
      <c r="AV7" s="37"/>
      <c r="AW7" s="43" t="s">
        <v>868</v>
      </c>
      <c r="AY7" s="661"/>
      <c r="AZ7" s="683"/>
      <c r="BA7" s="30"/>
      <c r="BB7" s="37"/>
      <c r="BC7" s="173"/>
      <c r="BD7" s="162"/>
      <c r="BF7" s="661"/>
      <c r="BG7" s="668" t="s">
        <v>359</v>
      </c>
      <c r="BH7" s="32" t="s">
        <v>17</v>
      </c>
      <c r="BI7" s="38">
        <v>12.3</v>
      </c>
      <c r="BJ7" s="174" t="s">
        <v>895</v>
      </c>
      <c r="BK7" s="163" t="s">
        <v>737</v>
      </c>
      <c r="BM7" s="661" t="s">
        <v>363</v>
      </c>
      <c r="BN7" s="668"/>
      <c r="BO7" s="32" t="s">
        <v>242</v>
      </c>
      <c r="BP7" s="39">
        <v>1</v>
      </c>
      <c r="BQ7" s="101"/>
      <c r="BR7" s="164" t="s">
        <v>735</v>
      </c>
    </row>
    <row r="8" spans="1:70">
      <c r="B8" s="662"/>
      <c r="C8" s="664"/>
      <c r="D8" s="31"/>
      <c r="E8" s="38"/>
      <c r="F8" s="92"/>
      <c r="G8" s="44"/>
      <c r="I8" s="662"/>
      <c r="J8" s="664"/>
      <c r="K8" s="31"/>
      <c r="L8" s="38"/>
      <c r="M8" s="92"/>
      <c r="N8" s="44"/>
      <c r="P8" s="662"/>
      <c r="Q8" s="664"/>
      <c r="R8" s="31"/>
      <c r="S8" s="38"/>
      <c r="T8" s="92"/>
      <c r="U8" s="44"/>
      <c r="W8" s="662"/>
      <c r="X8" s="664"/>
      <c r="Y8" s="31"/>
      <c r="Z8" s="38"/>
      <c r="AA8" s="92"/>
      <c r="AB8" s="44"/>
      <c r="AD8" s="662"/>
      <c r="AE8" s="664"/>
      <c r="AF8" s="31"/>
      <c r="AG8" s="38"/>
      <c r="AH8" s="92"/>
      <c r="AI8" s="44"/>
      <c r="AK8" s="662"/>
      <c r="AL8" s="664"/>
      <c r="AM8" s="31"/>
      <c r="AN8" s="38"/>
      <c r="AO8" s="92"/>
      <c r="AP8" s="44"/>
      <c r="AR8" s="662"/>
      <c r="AS8" s="664"/>
      <c r="AT8" s="31"/>
      <c r="AU8" s="38"/>
      <c r="AV8" s="92"/>
      <c r="AW8" s="44"/>
      <c r="AY8" s="662"/>
      <c r="AZ8" s="664"/>
      <c r="BA8" s="31"/>
      <c r="BB8" s="38"/>
      <c r="BC8" s="174"/>
      <c r="BD8" s="163"/>
      <c r="BF8" s="662"/>
      <c r="BG8" s="664"/>
      <c r="BH8" s="31"/>
      <c r="BI8" s="38"/>
      <c r="BJ8" s="102"/>
      <c r="BK8" s="163"/>
      <c r="BM8" s="662"/>
      <c r="BN8" s="664"/>
      <c r="BO8" s="31"/>
      <c r="BP8" s="38"/>
      <c r="BQ8" s="102"/>
      <c r="BR8" s="163"/>
    </row>
    <row r="9" spans="1:70" ht="18.75" customHeight="1">
      <c r="B9" s="667"/>
      <c r="C9" s="668"/>
      <c r="D9" s="32"/>
      <c r="E9" s="39"/>
      <c r="F9" s="37"/>
      <c r="G9" s="45"/>
      <c r="I9" s="667" t="s">
        <v>246</v>
      </c>
      <c r="J9" s="668" t="s">
        <v>339</v>
      </c>
      <c r="K9" s="32" t="s">
        <v>17</v>
      </c>
      <c r="L9" s="39"/>
      <c r="M9" s="37">
        <v>1.5</v>
      </c>
      <c r="N9" s="45"/>
      <c r="P9" s="661" t="s">
        <v>345</v>
      </c>
      <c r="Q9" s="668" t="s">
        <v>255</v>
      </c>
      <c r="R9" s="32" t="s">
        <v>17</v>
      </c>
      <c r="S9" s="39"/>
      <c r="T9" s="37">
        <v>18.66</v>
      </c>
      <c r="U9" s="45" t="s">
        <v>873</v>
      </c>
      <c r="W9" s="661"/>
      <c r="X9" s="668"/>
      <c r="Y9" s="32"/>
      <c r="Z9" s="39"/>
      <c r="AA9" s="37"/>
      <c r="AB9" s="45"/>
      <c r="AD9" s="661"/>
      <c r="AE9" s="668"/>
      <c r="AF9" s="32"/>
      <c r="AG9" s="39"/>
      <c r="AH9" s="37"/>
      <c r="AI9" s="45"/>
      <c r="AK9" s="667" t="s">
        <v>338</v>
      </c>
      <c r="AL9" s="668" t="s">
        <v>750</v>
      </c>
      <c r="AM9" s="32" t="s">
        <v>20</v>
      </c>
      <c r="AN9" s="39"/>
      <c r="AO9" s="37"/>
      <c r="AP9" s="45"/>
      <c r="AR9" s="667" t="s">
        <v>246</v>
      </c>
      <c r="AS9" s="668" t="s">
        <v>339</v>
      </c>
      <c r="AT9" s="32" t="s">
        <v>17</v>
      </c>
      <c r="AU9" s="39"/>
      <c r="AV9" s="37"/>
      <c r="AW9" s="45"/>
      <c r="AY9" s="661"/>
      <c r="AZ9" s="663" t="s">
        <v>625</v>
      </c>
      <c r="BA9" s="32" t="s">
        <v>41</v>
      </c>
      <c r="BB9" s="39">
        <f>BB5</f>
        <v>5.25</v>
      </c>
      <c r="BC9" s="173"/>
      <c r="BD9" s="164"/>
      <c r="BF9" s="661"/>
      <c r="BG9" s="663" t="s">
        <v>625</v>
      </c>
      <c r="BH9" s="32" t="s">
        <v>17</v>
      </c>
      <c r="BI9" s="39">
        <v>18.7</v>
      </c>
      <c r="BJ9" s="101" t="s">
        <v>896</v>
      </c>
      <c r="BK9" s="164"/>
      <c r="BM9" s="661"/>
      <c r="BN9" s="668"/>
      <c r="BO9" s="32"/>
      <c r="BP9" s="39"/>
      <c r="BQ9" s="101"/>
      <c r="BR9" s="164"/>
    </row>
    <row r="10" spans="1:70">
      <c r="B10" s="662"/>
      <c r="C10" s="664"/>
      <c r="D10" s="31"/>
      <c r="E10" s="38"/>
      <c r="F10" s="92"/>
      <c r="G10" s="44"/>
      <c r="I10" s="662"/>
      <c r="J10" s="664"/>
      <c r="K10" s="31"/>
      <c r="L10" s="38"/>
      <c r="M10" s="92"/>
      <c r="N10" s="44"/>
      <c r="P10" s="662"/>
      <c r="Q10" s="664"/>
      <c r="R10" s="31"/>
      <c r="S10" s="38"/>
      <c r="T10" s="92"/>
      <c r="U10" s="44"/>
      <c r="W10" s="662"/>
      <c r="X10" s="664"/>
      <c r="Y10" s="31"/>
      <c r="Z10" s="38"/>
      <c r="AA10" s="92"/>
      <c r="AB10" s="44"/>
      <c r="AD10" s="662"/>
      <c r="AE10" s="664"/>
      <c r="AF10" s="31"/>
      <c r="AG10" s="38"/>
      <c r="AH10" s="92"/>
      <c r="AI10" s="44"/>
      <c r="AK10" s="662"/>
      <c r="AL10" s="664"/>
      <c r="AM10" s="31"/>
      <c r="AN10" s="38"/>
      <c r="AO10" s="92"/>
      <c r="AP10" s="44"/>
      <c r="AR10" s="662"/>
      <c r="AS10" s="664"/>
      <c r="AT10" s="31"/>
      <c r="AU10" s="38"/>
      <c r="AV10" s="92"/>
      <c r="AW10" s="44"/>
      <c r="AY10" s="662"/>
      <c r="AZ10" s="664"/>
      <c r="BA10" s="31"/>
      <c r="BB10" s="38"/>
      <c r="BC10" s="174"/>
      <c r="BD10" s="163"/>
      <c r="BF10" s="662"/>
      <c r="BG10" s="664"/>
      <c r="BH10" s="31"/>
      <c r="BI10" s="38"/>
      <c r="BJ10" s="102"/>
      <c r="BK10" s="163"/>
      <c r="BM10" s="662"/>
      <c r="BN10" s="664"/>
      <c r="BO10" s="31"/>
      <c r="BP10" s="38"/>
      <c r="BQ10" s="102"/>
      <c r="BR10" s="163"/>
    </row>
    <row r="11" spans="1:70" ht="18.75" customHeight="1">
      <c r="B11" s="667"/>
      <c r="C11" s="668"/>
      <c r="D11" s="32"/>
      <c r="E11" s="39"/>
      <c r="F11" s="37"/>
      <c r="G11" s="45"/>
      <c r="I11" s="667" t="s">
        <v>244</v>
      </c>
      <c r="J11" s="668" t="s">
        <v>924</v>
      </c>
      <c r="K11" s="32" t="s">
        <v>17</v>
      </c>
      <c r="L11" s="39"/>
      <c r="M11" s="37"/>
      <c r="N11" s="45" t="s">
        <v>904</v>
      </c>
      <c r="P11" s="661" t="s">
        <v>345</v>
      </c>
      <c r="Q11" s="663" t="s">
        <v>931</v>
      </c>
      <c r="R11" s="32" t="s">
        <v>17</v>
      </c>
      <c r="S11" s="39"/>
      <c r="T11" s="37">
        <v>1</v>
      </c>
      <c r="U11" s="45"/>
      <c r="W11" s="667"/>
      <c r="X11" s="668"/>
      <c r="Y11" s="32"/>
      <c r="Z11" s="39"/>
      <c r="AA11" s="37"/>
      <c r="AB11" s="45"/>
      <c r="AD11" s="661"/>
      <c r="AE11" s="668"/>
      <c r="AF11" s="32"/>
      <c r="AG11" s="39"/>
      <c r="AH11" s="37"/>
      <c r="AI11" s="45"/>
      <c r="AK11" s="667"/>
      <c r="AL11" s="668"/>
      <c r="AM11" s="32"/>
      <c r="AN11" s="39"/>
      <c r="AO11" s="37"/>
      <c r="AP11" s="45"/>
      <c r="AR11" s="667" t="s">
        <v>244</v>
      </c>
      <c r="AS11" s="668" t="s">
        <v>741</v>
      </c>
      <c r="AT11" s="32" t="s">
        <v>17</v>
      </c>
      <c r="AU11" s="39"/>
      <c r="AV11" s="37"/>
      <c r="AW11" s="45" t="s">
        <v>870</v>
      </c>
      <c r="AY11" s="661" t="s">
        <v>626</v>
      </c>
      <c r="AZ11" s="668" t="s">
        <v>282</v>
      </c>
      <c r="BA11" s="32" t="s">
        <v>41</v>
      </c>
      <c r="BB11" s="39">
        <v>0.79</v>
      </c>
      <c r="BC11" s="173" t="s">
        <v>891</v>
      </c>
      <c r="BD11" s="164"/>
      <c r="BF11" s="661" t="s">
        <v>351</v>
      </c>
      <c r="BG11" s="668" t="s">
        <v>360</v>
      </c>
      <c r="BH11" s="32" t="s">
        <v>40</v>
      </c>
      <c r="BI11" s="39">
        <v>2.4</v>
      </c>
      <c r="BJ11" s="173" t="s">
        <v>739</v>
      </c>
      <c r="BK11" s="164" t="s">
        <v>736</v>
      </c>
      <c r="BM11" s="667"/>
      <c r="BN11" s="668"/>
      <c r="BO11" s="32"/>
      <c r="BP11" s="39"/>
      <c r="BQ11" s="101"/>
      <c r="BR11" s="164"/>
    </row>
    <row r="12" spans="1:70">
      <c r="B12" s="662"/>
      <c r="C12" s="664"/>
      <c r="D12" s="31"/>
      <c r="E12" s="38"/>
      <c r="F12" s="92"/>
      <c r="G12" s="44"/>
      <c r="I12" s="662"/>
      <c r="J12" s="664"/>
      <c r="K12" s="31"/>
      <c r="L12" s="38"/>
      <c r="M12" s="92"/>
      <c r="N12" s="44"/>
      <c r="P12" s="662"/>
      <c r="Q12" s="664"/>
      <c r="R12" s="31"/>
      <c r="S12" s="38"/>
      <c r="T12" s="92"/>
      <c r="U12" s="44"/>
      <c r="W12" s="662"/>
      <c r="X12" s="664"/>
      <c r="Y12" s="31"/>
      <c r="Z12" s="38"/>
      <c r="AA12" s="92"/>
      <c r="AB12" s="44"/>
      <c r="AD12" s="662"/>
      <c r="AE12" s="664"/>
      <c r="AF12" s="31"/>
      <c r="AG12" s="38"/>
      <c r="AH12" s="92"/>
      <c r="AI12" s="44"/>
      <c r="AK12" s="662"/>
      <c r="AL12" s="664"/>
      <c r="AM12" s="31"/>
      <c r="AN12" s="38"/>
      <c r="AO12" s="92"/>
      <c r="AP12" s="44"/>
      <c r="AR12" s="662"/>
      <c r="AS12" s="664"/>
      <c r="AT12" s="31"/>
      <c r="AU12" s="38"/>
      <c r="AV12" s="92"/>
      <c r="AW12" s="44" t="s">
        <v>745</v>
      </c>
      <c r="AY12" s="662"/>
      <c r="AZ12" s="664"/>
      <c r="BA12" s="31"/>
      <c r="BB12" s="38"/>
      <c r="BC12" s="174"/>
      <c r="BD12" s="163"/>
      <c r="BF12" s="662"/>
      <c r="BG12" s="664"/>
      <c r="BH12" s="31"/>
      <c r="BI12" s="38"/>
      <c r="BJ12" s="174"/>
      <c r="BK12" s="163"/>
      <c r="BM12" s="662"/>
      <c r="BN12" s="664"/>
      <c r="BO12" s="31"/>
      <c r="BP12" s="38"/>
      <c r="BQ12" s="102"/>
      <c r="BR12" s="163"/>
    </row>
    <row r="13" spans="1:70" ht="18.75" customHeight="1">
      <c r="B13" s="667"/>
      <c r="C13" s="668"/>
      <c r="D13" s="32"/>
      <c r="E13" s="39"/>
      <c r="F13" s="37"/>
      <c r="G13" s="45"/>
      <c r="I13" s="661" t="s">
        <v>244</v>
      </c>
      <c r="J13" s="668" t="s">
        <v>340</v>
      </c>
      <c r="K13" s="32" t="s">
        <v>17</v>
      </c>
      <c r="L13" s="39"/>
      <c r="M13" s="37"/>
      <c r="N13" s="45" t="s">
        <v>904</v>
      </c>
      <c r="P13" s="661"/>
      <c r="Q13" s="663"/>
      <c r="R13" s="32"/>
      <c r="S13" s="39"/>
      <c r="T13" s="37"/>
      <c r="U13" s="45"/>
      <c r="W13" s="667"/>
      <c r="X13" s="668"/>
      <c r="Y13" s="32"/>
      <c r="Z13" s="39"/>
      <c r="AA13" s="37"/>
      <c r="AB13" s="45"/>
      <c r="AD13" s="661"/>
      <c r="AE13" s="668"/>
      <c r="AF13" s="32"/>
      <c r="AG13" s="39"/>
      <c r="AH13" s="37"/>
      <c r="AI13" s="45"/>
      <c r="AK13" s="667"/>
      <c r="AL13" s="668"/>
      <c r="AM13" s="32"/>
      <c r="AN13" s="39"/>
      <c r="AO13" s="37"/>
      <c r="AP13" s="45"/>
      <c r="AR13" s="661" t="s">
        <v>244</v>
      </c>
      <c r="AS13" s="668" t="s">
        <v>340</v>
      </c>
      <c r="AT13" s="32" t="s">
        <v>17</v>
      </c>
      <c r="AU13" s="39"/>
      <c r="AV13" s="37"/>
      <c r="AW13" s="45" t="s">
        <v>870</v>
      </c>
      <c r="AY13" s="661"/>
      <c r="AZ13" s="668"/>
      <c r="BA13" s="32"/>
      <c r="BB13" s="39"/>
      <c r="BC13" s="173"/>
      <c r="BD13" s="164"/>
      <c r="BF13" s="667"/>
      <c r="BG13" s="668" t="s">
        <v>360</v>
      </c>
      <c r="BH13" s="32" t="s">
        <v>40</v>
      </c>
      <c r="BI13" s="39">
        <v>4.6100000000000003</v>
      </c>
      <c r="BJ13" s="173" t="s">
        <v>897</v>
      </c>
      <c r="BK13" s="163" t="s">
        <v>737</v>
      </c>
      <c r="BM13" s="667"/>
      <c r="BN13" s="668"/>
      <c r="BO13" s="32"/>
      <c r="BP13" s="39"/>
      <c r="BQ13" s="101"/>
      <c r="BR13" s="164"/>
    </row>
    <row r="14" spans="1:70">
      <c r="B14" s="662"/>
      <c r="C14" s="664"/>
      <c r="D14" s="31"/>
      <c r="E14" s="38"/>
      <c r="F14" s="92"/>
      <c r="G14" s="44"/>
      <c r="I14" s="662"/>
      <c r="J14" s="664"/>
      <c r="K14" s="31"/>
      <c r="L14" s="38"/>
      <c r="M14" s="92"/>
      <c r="N14" s="44"/>
      <c r="P14" s="662"/>
      <c r="Q14" s="664"/>
      <c r="R14" s="31"/>
      <c r="S14" s="38"/>
      <c r="T14" s="92"/>
      <c r="U14" s="44"/>
      <c r="W14" s="662"/>
      <c r="X14" s="664"/>
      <c r="Y14" s="31"/>
      <c r="Z14" s="38"/>
      <c r="AA14" s="92"/>
      <c r="AB14" s="44"/>
      <c r="AD14" s="662"/>
      <c r="AE14" s="664"/>
      <c r="AF14" s="31"/>
      <c r="AG14" s="38"/>
      <c r="AH14" s="92"/>
      <c r="AI14" s="44"/>
      <c r="AK14" s="662"/>
      <c r="AL14" s="664"/>
      <c r="AM14" s="31"/>
      <c r="AN14" s="38"/>
      <c r="AO14" s="92"/>
      <c r="AP14" s="44"/>
      <c r="AR14" s="662"/>
      <c r="AS14" s="664"/>
      <c r="AT14" s="31"/>
      <c r="AU14" s="38"/>
      <c r="AV14" s="92"/>
      <c r="AW14" s="44" t="s">
        <v>746</v>
      </c>
      <c r="AY14" s="662"/>
      <c r="AZ14" s="664"/>
      <c r="BA14" s="31"/>
      <c r="BB14" s="38"/>
      <c r="BC14" s="174"/>
      <c r="BD14" s="163"/>
      <c r="BF14" s="662"/>
      <c r="BG14" s="664"/>
      <c r="BH14" s="31"/>
      <c r="BI14" s="38"/>
      <c r="BJ14" s="174"/>
      <c r="BK14" s="163"/>
      <c r="BM14" s="662"/>
      <c r="BN14" s="664"/>
      <c r="BO14" s="31"/>
      <c r="BP14" s="38"/>
      <c r="BQ14" s="102"/>
      <c r="BR14" s="163"/>
    </row>
    <row r="15" spans="1:70">
      <c r="B15" s="667"/>
      <c r="C15" s="668"/>
      <c r="D15" s="32"/>
      <c r="E15" s="39"/>
      <c r="F15" s="37"/>
      <c r="G15" s="45"/>
      <c r="I15" s="661" t="s">
        <v>244</v>
      </c>
      <c r="J15" s="668" t="s">
        <v>341</v>
      </c>
      <c r="K15" s="32" t="s">
        <v>17</v>
      </c>
      <c r="L15" s="39"/>
      <c r="M15" s="37"/>
      <c r="N15" s="45" t="s">
        <v>904</v>
      </c>
      <c r="P15" s="667"/>
      <c r="Q15" s="668"/>
      <c r="R15" s="32"/>
      <c r="S15" s="39"/>
      <c r="T15" s="37"/>
      <c r="U15" s="45"/>
      <c r="W15" s="667"/>
      <c r="X15" s="668"/>
      <c r="Y15" s="32"/>
      <c r="Z15" s="39"/>
      <c r="AA15" s="37"/>
      <c r="AB15" s="45"/>
      <c r="AD15" s="667"/>
      <c r="AE15" s="668"/>
      <c r="AF15" s="32"/>
      <c r="AG15" s="39"/>
      <c r="AH15" s="37"/>
      <c r="AI15" s="45"/>
      <c r="AK15" s="667"/>
      <c r="AL15" s="668"/>
      <c r="AM15" s="32"/>
      <c r="AN15" s="39"/>
      <c r="AO15" s="37"/>
      <c r="AP15" s="45"/>
      <c r="AR15" s="661" t="s">
        <v>244</v>
      </c>
      <c r="AS15" s="668" t="s">
        <v>742</v>
      </c>
      <c r="AT15" s="32" t="s">
        <v>17</v>
      </c>
      <c r="AU15" s="39"/>
      <c r="AV15" s="37"/>
      <c r="AW15" s="45" t="s">
        <v>870</v>
      </c>
      <c r="AY15" s="661"/>
      <c r="AZ15" s="663" t="s">
        <v>625</v>
      </c>
      <c r="BA15" s="32" t="s">
        <v>41</v>
      </c>
      <c r="BB15" s="39">
        <f>BB11</f>
        <v>0.79</v>
      </c>
      <c r="BC15" s="173"/>
      <c r="BD15" s="164"/>
      <c r="BF15" s="667"/>
      <c r="BG15" s="663" t="s">
        <v>625</v>
      </c>
      <c r="BH15" s="32" t="s">
        <v>40</v>
      </c>
      <c r="BI15" s="39">
        <v>7.01</v>
      </c>
      <c r="BJ15" s="101" t="s">
        <v>898</v>
      </c>
      <c r="BK15" s="164"/>
      <c r="BM15" s="667"/>
      <c r="BN15" s="668"/>
      <c r="BO15" s="32"/>
      <c r="BP15" s="39"/>
      <c r="BQ15" s="101"/>
      <c r="BR15" s="164"/>
    </row>
    <row r="16" spans="1:70">
      <c r="B16" s="662"/>
      <c r="C16" s="664"/>
      <c r="D16" s="31"/>
      <c r="E16" s="38"/>
      <c r="F16" s="92"/>
      <c r="G16" s="44"/>
      <c r="I16" s="662"/>
      <c r="J16" s="664"/>
      <c r="K16" s="31"/>
      <c r="L16" s="38"/>
      <c r="M16" s="92"/>
      <c r="N16" s="44"/>
      <c r="P16" s="662"/>
      <c r="Q16" s="664"/>
      <c r="R16" s="31"/>
      <c r="S16" s="38"/>
      <c r="T16" s="92"/>
      <c r="U16" s="44"/>
      <c r="W16" s="662"/>
      <c r="X16" s="664"/>
      <c r="Y16" s="31"/>
      <c r="Z16" s="38"/>
      <c r="AA16" s="92"/>
      <c r="AB16" s="44"/>
      <c r="AD16" s="662"/>
      <c r="AE16" s="664"/>
      <c r="AF16" s="31"/>
      <c r="AG16" s="38"/>
      <c r="AH16" s="92"/>
      <c r="AI16" s="44"/>
      <c r="AK16" s="662"/>
      <c r="AL16" s="664"/>
      <c r="AM16" s="31"/>
      <c r="AN16" s="38"/>
      <c r="AO16" s="92"/>
      <c r="AP16" s="44"/>
      <c r="AR16" s="662"/>
      <c r="AS16" s="664"/>
      <c r="AT16" s="31"/>
      <c r="AU16" s="38"/>
      <c r="AV16" s="92"/>
      <c r="AW16" s="44" t="s">
        <v>747</v>
      </c>
      <c r="AY16" s="662"/>
      <c r="AZ16" s="664"/>
      <c r="BA16" s="31"/>
      <c r="BB16" s="38"/>
      <c r="BC16" s="174"/>
      <c r="BD16" s="163"/>
      <c r="BF16" s="662"/>
      <c r="BG16" s="664"/>
      <c r="BH16" s="31"/>
      <c r="BI16" s="38"/>
      <c r="BJ16" s="102"/>
      <c r="BK16" s="163"/>
      <c r="BM16" s="662"/>
      <c r="BN16" s="664"/>
      <c r="BO16" s="31"/>
      <c r="BP16" s="38"/>
      <c r="BQ16" s="102"/>
      <c r="BR16" s="163"/>
    </row>
    <row r="17" spans="2:70" ht="18.75" customHeight="1">
      <c r="B17" s="661"/>
      <c r="C17" s="668"/>
      <c r="D17" s="32"/>
      <c r="E17" s="39"/>
      <c r="F17" s="37"/>
      <c r="G17" s="45"/>
      <c r="I17" s="661" t="s">
        <v>244</v>
      </c>
      <c r="J17" s="668" t="s">
        <v>778</v>
      </c>
      <c r="K17" s="32" t="s">
        <v>17</v>
      </c>
      <c r="L17" s="39"/>
      <c r="M17" s="37"/>
      <c r="N17" s="45" t="s">
        <v>904</v>
      </c>
      <c r="P17" s="661"/>
      <c r="Q17" s="668"/>
      <c r="R17" s="32"/>
      <c r="S17" s="39"/>
      <c r="T17" s="37"/>
      <c r="U17" s="45"/>
      <c r="W17" s="661"/>
      <c r="X17" s="668"/>
      <c r="Y17" s="32"/>
      <c r="Z17" s="39"/>
      <c r="AA17" s="37"/>
      <c r="AB17" s="45"/>
      <c r="AD17" s="661"/>
      <c r="AE17" s="668"/>
      <c r="AF17" s="32"/>
      <c r="AG17" s="39"/>
      <c r="AH17" s="37"/>
      <c r="AI17" s="45"/>
      <c r="AK17" s="661"/>
      <c r="AL17" s="668"/>
      <c r="AM17" s="32"/>
      <c r="AN17" s="39"/>
      <c r="AO17" s="37"/>
      <c r="AP17" s="45"/>
      <c r="AR17" s="661" t="s">
        <v>244</v>
      </c>
      <c r="AS17" s="668" t="s">
        <v>743</v>
      </c>
      <c r="AT17" s="32" t="s">
        <v>17</v>
      </c>
      <c r="AU17" s="39"/>
      <c r="AV17" s="37"/>
      <c r="AW17" s="45" t="s">
        <v>871</v>
      </c>
      <c r="AY17" s="661" t="s">
        <v>281</v>
      </c>
      <c r="AZ17" s="668" t="s">
        <v>627</v>
      </c>
      <c r="BA17" s="32" t="s">
        <v>41</v>
      </c>
      <c r="BB17" s="39">
        <v>1.91</v>
      </c>
      <c r="BC17" s="173" t="s">
        <v>892</v>
      </c>
      <c r="BD17" s="164"/>
      <c r="BF17" s="661" t="s">
        <v>352</v>
      </c>
      <c r="BG17" s="668" t="s">
        <v>907</v>
      </c>
      <c r="BH17" s="32" t="s">
        <v>41</v>
      </c>
      <c r="BI17" s="39">
        <v>0.35</v>
      </c>
      <c r="BJ17" s="173" t="s">
        <v>899</v>
      </c>
      <c r="BK17" s="164"/>
      <c r="BM17" s="661"/>
      <c r="BN17" s="668"/>
      <c r="BO17" s="32"/>
      <c r="BP17" s="39"/>
      <c r="BQ17" s="101"/>
      <c r="BR17" s="164"/>
    </row>
    <row r="18" spans="2:70">
      <c r="B18" s="662"/>
      <c r="C18" s="664"/>
      <c r="D18" s="31"/>
      <c r="E18" s="38"/>
      <c r="F18" s="92"/>
      <c r="G18" s="44"/>
      <c r="I18" s="662"/>
      <c r="J18" s="664"/>
      <c r="K18" s="31"/>
      <c r="L18" s="38"/>
      <c r="M18" s="92"/>
      <c r="N18" s="44"/>
      <c r="P18" s="662"/>
      <c r="Q18" s="664"/>
      <c r="R18" s="31"/>
      <c r="S18" s="38"/>
      <c r="T18" s="92"/>
      <c r="U18" s="44"/>
      <c r="W18" s="662"/>
      <c r="X18" s="664"/>
      <c r="Y18" s="31"/>
      <c r="Z18" s="38"/>
      <c r="AA18" s="92"/>
      <c r="AB18" s="44"/>
      <c r="AD18" s="662"/>
      <c r="AE18" s="664"/>
      <c r="AF18" s="31"/>
      <c r="AG18" s="38"/>
      <c r="AH18" s="92"/>
      <c r="AI18" s="44"/>
      <c r="AK18" s="662"/>
      <c r="AL18" s="664"/>
      <c r="AM18" s="31"/>
      <c r="AN18" s="38"/>
      <c r="AO18" s="92"/>
      <c r="AP18" s="44"/>
      <c r="AR18" s="662"/>
      <c r="AS18" s="664"/>
      <c r="AT18" s="31"/>
      <c r="AU18" s="38"/>
      <c r="AV18" s="92"/>
      <c r="AW18" s="44" t="s">
        <v>749</v>
      </c>
      <c r="AY18" s="662"/>
      <c r="AZ18" s="664"/>
      <c r="BA18" s="31"/>
      <c r="BB18" s="38"/>
      <c r="BC18" s="174"/>
      <c r="BD18" s="163"/>
      <c r="BF18" s="662"/>
      <c r="BG18" s="664"/>
      <c r="BH18" s="31"/>
      <c r="BI18" s="38"/>
      <c r="BJ18" s="174"/>
      <c r="BK18" s="163"/>
      <c r="BM18" s="662"/>
      <c r="BN18" s="664"/>
      <c r="BO18" s="31"/>
      <c r="BP18" s="38"/>
      <c r="BQ18" s="102"/>
      <c r="BR18" s="163"/>
    </row>
    <row r="19" spans="2:70" ht="18.75" customHeight="1">
      <c r="B19" s="661"/>
      <c r="C19" s="663"/>
      <c r="D19" s="32"/>
      <c r="E19" s="39"/>
      <c r="F19" s="37"/>
      <c r="G19" s="45"/>
      <c r="I19" s="661" t="s">
        <v>244</v>
      </c>
      <c r="J19" s="668" t="s">
        <v>779</v>
      </c>
      <c r="K19" s="32" t="s">
        <v>17</v>
      </c>
      <c r="L19" s="39"/>
      <c r="M19" s="37"/>
      <c r="N19" s="45" t="s">
        <v>904</v>
      </c>
      <c r="P19" s="661"/>
      <c r="Q19" s="663"/>
      <c r="R19" s="32"/>
      <c r="S19" s="39"/>
      <c r="T19" s="37"/>
      <c r="U19" s="45"/>
      <c r="W19" s="661"/>
      <c r="X19" s="663"/>
      <c r="Y19" s="32"/>
      <c r="Z19" s="39"/>
      <c r="AA19" s="37"/>
      <c r="AB19" s="45"/>
      <c r="AD19" s="661"/>
      <c r="AE19" s="663"/>
      <c r="AF19" s="32"/>
      <c r="AG19" s="39"/>
      <c r="AH19" s="37"/>
      <c r="AI19" s="45"/>
      <c r="AK19" s="661"/>
      <c r="AL19" s="663"/>
      <c r="AM19" s="32"/>
      <c r="AN19" s="39"/>
      <c r="AO19" s="37"/>
      <c r="AP19" s="45"/>
      <c r="AR19" s="661" t="s">
        <v>244</v>
      </c>
      <c r="AS19" s="668" t="s">
        <v>744</v>
      </c>
      <c r="AT19" s="32" t="s">
        <v>17</v>
      </c>
      <c r="AU19" s="39"/>
      <c r="AV19" s="37"/>
      <c r="AW19" s="45" t="s">
        <v>871</v>
      </c>
      <c r="AY19" s="661"/>
      <c r="AZ19" s="668"/>
      <c r="BA19" s="32"/>
      <c r="BB19" s="39"/>
      <c r="BC19" s="173"/>
      <c r="BD19" s="164"/>
      <c r="BF19" s="661" t="s">
        <v>353</v>
      </c>
      <c r="BG19" s="663" t="s">
        <v>740</v>
      </c>
      <c r="BH19" s="32" t="s">
        <v>40</v>
      </c>
      <c r="BI19" s="39">
        <v>5.9</v>
      </c>
      <c r="BJ19" s="173" t="s">
        <v>900</v>
      </c>
      <c r="BK19" s="164"/>
      <c r="BM19" s="661"/>
      <c r="BN19" s="663"/>
      <c r="BO19" s="32"/>
      <c r="BP19" s="39"/>
      <c r="BQ19" s="101"/>
      <c r="BR19" s="164"/>
    </row>
    <row r="20" spans="2:70">
      <c r="B20" s="662"/>
      <c r="C20" s="664"/>
      <c r="D20" s="31"/>
      <c r="E20" s="38"/>
      <c r="F20" s="92"/>
      <c r="G20" s="44"/>
      <c r="I20" s="662"/>
      <c r="J20" s="664"/>
      <c r="K20" s="31"/>
      <c r="L20" s="38"/>
      <c r="M20" s="92"/>
      <c r="N20" s="44"/>
      <c r="P20" s="662"/>
      <c r="Q20" s="664"/>
      <c r="R20" s="31"/>
      <c r="S20" s="38"/>
      <c r="T20" s="92"/>
      <c r="U20" s="44"/>
      <c r="W20" s="662"/>
      <c r="X20" s="664"/>
      <c r="Y20" s="31"/>
      <c r="Z20" s="38"/>
      <c r="AA20" s="92"/>
      <c r="AB20" s="44"/>
      <c r="AD20" s="662"/>
      <c r="AE20" s="664"/>
      <c r="AF20" s="31"/>
      <c r="AG20" s="38"/>
      <c r="AH20" s="92"/>
      <c r="AI20" s="44"/>
      <c r="AK20" s="662"/>
      <c r="AL20" s="664"/>
      <c r="AM20" s="31"/>
      <c r="AN20" s="38"/>
      <c r="AO20" s="92"/>
      <c r="AP20" s="44"/>
      <c r="AR20" s="662"/>
      <c r="AS20" s="664"/>
      <c r="AT20" s="31"/>
      <c r="AU20" s="38"/>
      <c r="AV20" s="92"/>
      <c r="AW20" s="44" t="s">
        <v>748</v>
      </c>
      <c r="AY20" s="662"/>
      <c r="AZ20" s="664"/>
      <c r="BA20" s="31"/>
      <c r="BB20" s="38"/>
      <c r="BC20" s="174"/>
      <c r="BD20" s="163"/>
      <c r="BF20" s="662"/>
      <c r="BG20" s="664"/>
      <c r="BH20" s="31"/>
      <c r="BI20" s="38"/>
      <c r="BJ20" s="174"/>
      <c r="BK20" s="163"/>
      <c r="BM20" s="662"/>
      <c r="BN20" s="664"/>
      <c r="BO20" s="31"/>
      <c r="BP20" s="38"/>
      <c r="BQ20" s="102"/>
      <c r="BR20" s="163"/>
    </row>
    <row r="21" spans="2:70">
      <c r="B21" s="661"/>
      <c r="C21" s="663"/>
      <c r="D21" s="32"/>
      <c r="E21" s="39"/>
      <c r="F21" s="37"/>
      <c r="G21" s="45"/>
      <c r="I21" s="661"/>
      <c r="J21" s="668"/>
      <c r="K21" s="32"/>
      <c r="L21" s="39"/>
      <c r="M21" s="37"/>
      <c r="N21" s="45"/>
      <c r="P21" s="661"/>
      <c r="Q21" s="663"/>
      <c r="R21" s="32"/>
      <c r="S21" s="39"/>
      <c r="T21" s="37"/>
      <c r="U21" s="45"/>
      <c r="W21" s="661"/>
      <c r="X21" s="663"/>
      <c r="Y21" s="32"/>
      <c r="Z21" s="39"/>
      <c r="AA21" s="37"/>
      <c r="AB21" s="45"/>
      <c r="AD21" s="661"/>
      <c r="AE21" s="663"/>
      <c r="AF21" s="32"/>
      <c r="AG21" s="39"/>
      <c r="AH21" s="37"/>
      <c r="AI21" s="45"/>
      <c r="AK21" s="661"/>
      <c r="AL21" s="663"/>
      <c r="AM21" s="32"/>
      <c r="AN21" s="39"/>
      <c r="AO21" s="37"/>
      <c r="AP21" s="45"/>
      <c r="AR21" s="661"/>
      <c r="AS21" s="663"/>
      <c r="AT21" s="32"/>
      <c r="AU21" s="39"/>
      <c r="AV21" s="37"/>
      <c r="AW21" s="45"/>
      <c r="AY21" s="661"/>
      <c r="AZ21" s="663" t="s">
        <v>625</v>
      </c>
      <c r="BA21" s="32" t="s">
        <v>41</v>
      </c>
      <c r="BB21" s="39">
        <f>BB17</f>
        <v>1.91</v>
      </c>
      <c r="BC21" s="173"/>
      <c r="BD21" s="164"/>
      <c r="BF21" s="661"/>
      <c r="BG21" s="663"/>
      <c r="BH21" s="32"/>
      <c r="BI21" s="39"/>
      <c r="BJ21" s="173"/>
      <c r="BK21" s="163"/>
      <c r="BM21" s="661"/>
      <c r="BN21" s="663"/>
      <c r="BO21" s="32"/>
      <c r="BP21" s="39"/>
      <c r="BQ21" s="101"/>
      <c r="BR21" s="164"/>
    </row>
    <row r="22" spans="2:70">
      <c r="B22" s="662"/>
      <c r="C22" s="664"/>
      <c r="D22" s="31"/>
      <c r="E22" s="38"/>
      <c r="F22" s="92"/>
      <c r="G22" s="44"/>
      <c r="I22" s="662"/>
      <c r="J22" s="664"/>
      <c r="K22" s="31"/>
      <c r="L22" s="38"/>
      <c r="M22" s="92"/>
      <c r="N22" s="44"/>
      <c r="P22" s="662"/>
      <c r="Q22" s="664"/>
      <c r="R22" s="31"/>
      <c r="S22" s="38"/>
      <c r="T22" s="92"/>
      <c r="U22" s="44"/>
      <c r="W22" s="662"/>
      <c r="X22" s="664"/>
      <c r="Y22" s="31"/>
      <c r="Z22" s="38"/>
      <c r="AA22" s="92"/>
      <c r="AB22" s="44"/>
      <c r="AD22" s="662"/>
      <c r="AE22" s="664"/>
      <c r="AF22" s="31"/>
      <c r="AG22" s="38"/>
      <c r="AH22" s="92"/>
      <c r="AI22" s="44"/>
      <c r="AK22" s="662"/>
      <c r="AL22" s="664"/>
      <c r="AM22" s="31"/>
      <c r="AN22" s="38"/>
      <c r="AO22" s="92"/>
      <c r="AP22" s="44"/>
      <c r="AR22" s="662"/>
      <c r="AS22" s="664"/>
      <c r="AT22" s="31"/>
      <c r="AU22" s="38"/>
      <c r="AV22" s="92"/>
      <c r="AW22" s="44"/>
      <c r="AY22" s="662"/>
      <c r="AZ22" s="664"/>
      <c r="BA22" s="31"/>
      <c r="BB22" s="38"/>
      <c r="BC22" s="174"/>
      <c r="BD22" s="163"/>
      <c r="BF22" s="662"/>
      <c r="BG22" s="664"/>
      <c r="BH22" s="31"/>
      <c r="BI22" s="38"/>
      <c r="BJ22" s="174"/>
      <c r="BK22" s="163"/>
      <c r="BM22" s="662"/>
      <c r="BN22" s="664"/>
      <c r="BO22" s="31"/>
      <c r="BP22" s="38"/>
      <c r="BQ22" s="102"/>
      <c r="BR22" s="163"/>
    </row>
    <row r="23" spans="2:70">
      <c r="B23" s="661"/>
      <c r="C23" s="663"/>
      <c r="D23" s="32"/>
      <c r="E23" s="39"/>
      <c r="F23" s="37"/>
      <c r="G23" s="45"/>
      <c r="I23" s="661"/>
      <c r="J23" s="663"/>
      <c r="K23" s="32"/>
      <c r="L23" s="39"/>
      <c r="M23" s="37"/>
      <c r="N23" s="45"/>
      <c r="P23" s="661"/>
      <c r="Q23" s="668"/>
      <c r="R23" s="32"/>
      <c r="S23" s="39"/>
      <c r="T23" s="37"/>
      <c r="U23" s="45"/>
      <c r="W23" s="661"/>
      <c r="X23" s="663"/>
      <c r="Y23" s="32"/>
      <c r="Z23" s="39"/>
      <c r="AA23" s="37"/>
      <c r="AB23" s="45"/>
      <c r="AD23" s="661"/>
      <c r="AE23" s="663"/>
      <c r="AF23" s="32"/>
      <c r="AG23" s="39"/>
      <c r="AH23" s="37"/>
      <c r="AI23" s="45"/>
      <c r="AK23" s="661"/>
      <c r="AL23" s="663"/>
      <c r="AM23" s="32"/>
      <c r="AN23" s="39"/>
      <c r="AO23" s="37"/>
      <c r="AP23" s="45"/>
      <c r="AR23" s="661"/>
      <c r="AS23" s="663"/>
      <c r="AT23" s="32"/>
      <c r="AU23" s="39"/>
      <c r="AV23" s="37"/>
      <c r="AW23" s="45"/>
      <c r="AY23" s="661" t="s">
        <v>283</v>
      </c>
      <c r="AZ23" s="668" t="s">
        <v>628</v>
      </c>
      <c r="BA23" s="32" t="s">
        <v>41</v>
      </c>
      <c r="BB23" s="39">
        <v>3.34</v>
      </c>
      <c r="BC23" s="173" t="s">
        <v>893</v>
      </c>
      <c r="BD23" s="164"/>
      <c r="BF23" s="661"/>
      <c r="BG23" s="663" t="s">
        <v>625</v>
      </c>
      <c r="BH23" s="32" t="s">
        <v>40</v>
      </c>
      <c r="BI23" s="39">
        <v>5.9</v>
      </c>
      <c r="BJ23" s="173"/>
      <c r="BK23" s="164"/>
      <c r="BM23" s="661"/>
      <c r="BN23" s="663"/>
      <c r="BO23" s="32"/>
      <c r="BP23" s="39"/>
      <c r="BQ23" s="101"/>
      <c r="BR23" s="164"/>
    </row>
    <row r="24" spans="2:70">
      <c r="B24" s="662"/>
      <c r="C24" s="664"/>
      <c r="D24" s="31"/>
      <c r="E24" s="38"/>
      <c r="F24" s="92"/>
      <c r="G24" s="44"/>
      <c r="I24" s="662"/>
      <c r="J24" s="664"/>
      <c r="K24" s="31"/>
      <c r="L24" s="38"/>
      <c r="M24" s="92"/>
      <c r="N24" s="44"/>
      <c r="P24" s="662"/>
      <c r="Q24" s="664"/>
      <c r="R24" s="31"/>
      <c r="S24" s="38"/>
      <c r="T24" s="92"/>
      <c r="U24" s="44"/>
      <c r="W24" s="662"/>
      <c r="X24" s="664"/>
      <c r="Y24" s="31"/>
      <c r="Z24" s="38"/>
      <c r="AA24" s="92"/>
      <c r="AB24" s="44"/>
      <c r="AD24" s="662"/>
      <c r="AE24" s="664"/>
      <c r="AF24" s="31"/>
      <c r="AG24" s="38"/>
      <c r="AH24" s="92"/>
      <c r="AI24" s="44"/>
      <c r="AK24" s="662"/>
      <c r="AL24" s="664"/>
      <c r="AM24" s="31"/>
      <c r="AN24" s="38"/>
      <c r="AO24" s="92"/>
      <c r="AP24" s="44"/>
      <c r="AR24" s="662"/>
      <c r="AS24" s="664"/>
      <c r="AT24" s="31"/>
      <c r="AU24" s="38"/>
      <c r="AV24" s="92"/>
      <c r="AW24" s="44"/>
      <c r="AY24" s="662"/>
      <c r="AZ24" s="664"/>
      <c r="BA24" s="31"/>
      <c r="BB24" s="38"/>
      <c r="BC24" s="174"/>
      <c r="BD24" s="163"/>
      <c r="BF24" s="662"/>
      <c r="BG24" s="664"/>
      <c r="BH24" s="31"/>
      <c r="BI24" s="38"/>
      <c r="BJ24" s="174"/>
      <c r="BK24" s="163"/>
      <c r="BM24" s="662"/>
      <c r="BN24" s="664"/>
      <c r="BO24" s="31"/>
      <c r="BP24" s="38"/>
      <c r="BQ24" s="102"/>
      <c r="BR24" s="163"/>
    </row>
    <row r="25" spans="2:70">
      <c r="B25" s="661"/>
      <c r="C25" s="663"/>
      <c r="D25" s="32"/>
      <c r="E25" s="39"/>
      <c r="F25" s="37"/>
      <c r="G25" s="45"/>
      <c r="I25" s="661"/>
      <c r="J25" s="663"/>
      <c r="K25" s="32"/>
      <c r="L25" s="39"/>
      <c r="M25" s="37"/>
      <c r="N25" s="45"/>
      <c r="P25" s="661"/>
      <c r="Q25" s="663"/>
      <c r="R25" s="32"/>
      <c r="S25" s="39"/>
      <c r="T25" s="37"/>
      <c r="U25" s="45"/>
      <c r="W25" s="661"/>
      <c r="X25" s="663"/>
      <c r="Y25" s="32"/>
      <c r="Z25" s="39"/>
      <c r="AA25" s="37"/>
      <c r="AB25" s="45"/>
      <c r="AD25" s="661"/>
      <c r="AE25" s="663"/>
      <c r="AF25" s="32"/>
      <c r="AG25" s="39"/>
      <c r="AH25" s="37"/>
      <c r="AI25" s="45"/>
      <c r="AK25" s="661"/>
      <c r="AL25" s="663"/>
      <c r="AM25" s="32"/>
      <c r="AN25" s="39"/>
      <c r="AO25" s="37"/>
      <c r="AP25" s="45"/>
      <c r="AR25" s="661"/>
      <c r="AS25" s="663"/>
      <c r="AT25" s="32"/>
      <c r="AU25" s="39"/>
      <c r="AV25" s="37"/>
      <c r="AW25" s="45"/>
      <c r="AY25" s="661"/>
      <c r="AZ25" s="668" t="s">
        <v>905</v>
      </c>
      <c r="BA25" s="32" t="s">
        <v>41</v>
      </c>
      <c r="BB25" s="39">
        <v>1.91</v>
      </c>
      <c r="BC25" s="173"/>
      <c r="BD25" s="164"/>
      <c r="BF25" s="661" t="s">
        <v>355</v>
      </c>
      <c r="BG25" s="663" t="s">
        <v>361</v>
      </c>
      <c r="BH25" s="32" t="s">
        <v>40</v>
      </c>
      <c r="BI25" s="39">
        <v>5.84</v>
      </c>
      <c r="BJ25" s="173" t="s">
        <v>901</v>
      </c>
      <c r="BK25" s="164"/>
      <c r="BM25" s="661"/>
      <c r="BN25" s="663"/>
      <c r="BO25" s="32"/>
      <c r="BP25" s="39"/>
      <c r="BQ25" s="101"/>
      <c r="BR25" s="164"/>
    </row>
    <row r="26" spans="2:70">
      <c r="B26" s="662"/>
      <c r="C26" s="664"/>
      <c r="D26" s="31"/>
      <c r="E26" s="38"/>
      <c r="F26" s="92"/>
      <c r="G26" s="44"/>
      <c r="I26" s="662"/>
      <c r="J26" s="664"/>
      <c r="K26" s="31"/>
      <c r="L26" s="38"/>
      <c r="M26" s="92"/>
      <c r="N26" s="44"/>
      <c r="P26" s="662"/>
      <c r="Q26" s="664"/>
      <c r="R26" s="31"/>
      <c r="S26" s="38"/>
      <c r="T26" s="92"/>
      <c r="U26" s="44"/>
      <c r="W26" s="662"/>
      <c r="X26" s="664"/>
      <c r="Y26" s="31"/>
      <c r="Z26" s="38"/>
      <c r="AA26" s="92"/>
      <c r="AB26" s="44"/>
      <c r="AD26" s="662"/>
      <c r="AE26" s="664"/>
      <c r="AF26" s="31"/>
      <c r="AG26" s="38"/>
      <c r="AH26" s="92"/>
      <c r="AI26" s="44"/>
      <c r="AK26" s="662"/>
      <c r="AL26" s="664"/>
      <c r="AM26" s="31"/>
      <c r="AN26" s="38"/>
      <c r="AO26" s="92"/>
      <c r="AP26" s="44"/>
      <c r="AR26" s="662"/>
      <c r="AS26" s="664"/>
      <c r="AT26" s="31"/>
      <c r="AU26" s="38"/>
      <c r="AV26" s="92"/>
      <c r="AW26" s="44"/>
      <c r="AY26" s="662"/>
      <c r="AZ26" s="664"/>
      <c r="BA26" s="31"/>
      <c r="BB26" s="38"/>
      <c r="BC26" s="174"/>
      <c r="BD26" s="163"/>
      <c r="BF26" s="662"/>
      <c r="BG26" s="664"/>
      <c r="BH26" s="31"/>
      <c r="BI26" s="38"/>
      <c r="BJ26" s="174"/>
      <c r="BK26" s="163"/>
      <c r="BM26" s="662"/>
      <c r="BN26" s="664"/>
      <c r="BO26" s="31"/>
      <c r="BP26" s="38"/>
      <c r="BQ26" s="102"/>
      <c r="BR26" s="163"/>
    </row>
    <row r="27" spans="2:70">
      <c r="B27" s="661"/>
      <c r="C27" s="663"/>
      <c r="D27" s="32"/>
      <c r="E27" s="39"/>
      <c r="F27" s="37"/>
      <c r="G27" s="45"/>
      <c r="I27" s="661"/>
      <c r="J27" s="663"/>
      <c r="K27" s="32"/>
      <c r="L27" s="39"/>
      <c r="M27" s="37"/>
      <c r="N27" s="45"/>
      <c r="P27" s="661"/>
      <c r="Q27" s="663"/>
      <c r="R27" s="32"/>
      <c r="S27" s="39"/>
      <c r="T27" s="37"/>
      <c r="U27" s="45"/>
      <c r="W27" s="661"/>
      <c r="X27" s="663"/>
      <c r="Y27" s="32"/>
      <c r="Z27" s="39"/>
      <c r="AA27" s="37"/>
      <c r="AB27" s="45"/>
      <c r="AD27" s="661"/>
      <c r="AE27" s="663"/>
      <c r="AF27" s="32"/>
      <c r="AG27" s="39"/>
      <c r="AH27" s="37"/>
      <c r="AI27" s="45"/>
      <c r="AK27" s="661"/>
      <c r="AL27" s="663"/>
      <c r="AM27" s="32"/>
      <c r="AN27" s="39"/>
      <c r="AO27" s="37"/>
      <c r="AP27" s="45"/>
      <c r="AR27" s="661"/>
      <c r="AS27" s="663"/>
      <c r="AT27" s="32"/>
      <c r="AU27" s="39"/>
      <c r="AV27" s="37"/>
      <c r="AW27" s="45"/>
      <c r="AY27" s="667" t="s">
        <v>284</v>
      </c>
      <c r="AZ27" s="668" t="s">
        <v>358</v>
      </c>
      <c r="BA27" s="32" t="s">
        <v>41</v>
      </c>
      <c r="BB27" s="39">
        <v>0.46</v>
      </c>
      <c r="BC27" s="173" t="s">
        <v>894</v>
      </c>
      <c r="BD27" s="164"/>
      <c r="BF27" s="682"/>
      <c r="BG27" s="663"/>
      <c r="BH27" s="32"/>
      <c r="BI27" s="39"/>
      <c r="BJ27" s="173"/>
      <c r="BK27" s="164"/>
      <c r="BM27" s="661"/>
      <c r="BN27" s="663"/>
      <c r="BO27" s="32"/>
      <c r="BP27" s="39"/>
      <c r="BQ27" s="101"/>
      <c r="BR27" s="164"/>
    </row>
    <row r="28" spans="2:70">
      <c r="B28" s="662"/>
      <c r="C28" s="664"/>
      <c r="D28" s="31"/>
      <c r="E28" s="38"/>
      <c r="F28" s="92"/>
      <c r="G28" s="44"/>
      <c r="I28" s="662"/>
      <c r="J28" s="664"/>
      <c r="K28" s="31"/>
      <c r="L28" s="38"/>
      <c r="M28" s="92"/>
      <c r="N28" s="44"/>
      <c r="P28" s="662"/>
      <c r="Q28" s="664"/>
      <c r="R28" s="31"/>
      <c r="S28" s="38"/>
      <c r="T28" s="92"/>
      <c r="U28" s="44"/>
      <c r="W28" s="662"/>
      <c r="X28" s="664"/>
      <c r="Y28" s="31"/>
      <c r="Z28" s="38"/>
      <c r="AA28" s="92"/>
      <c r="AB28" s="44"/>
      <c r="AD28" s="662"/>
      <c r="AE28" s="664"/>
      <c r="AF28" s="31"/>
      <c r="AG28" s="38"/>
      <c r="AH28" s="92"/>
      <c r="AI28" s="44"/>
      <c r="AK28" s="662"/>
      <c r="AL28" s="664"/>
      <c r="AM28" s="31"/>
      <c r="AN28" s="38"/>
      <c r="AO28" s="92"/>
      <c r="AP28" s="44"/>
      <c r="AR28" s="662"/>
      <c r="AS28" s="664"/>
      <c r="AT28" s="31"/>
      <c r="AU28" s="38"/>
      <c r="AV28" s="92"/>
      <c r="AW28" s="44"/>
      <c r="AY28" s="662"/>
      <c r="AZ28" s="664"/>
      <c r="BA28" s="31"/>
      <c r="BB28" s="38"/>
      <c r="BC28" s="174"/>
      <c r="BD28" s="163"/>
      <c r="BF28" s="662"/>
      <c r="BG28" s="664"/>
      <c r="BH28" s="31"/>
      <c r="BI28" s="38"/>
      <c r="BJ28" s="174"/>
      <c r="BK28" s="163"/>
      <c r="BM28" s="662"/>
      <c r="BN28" s="664"/>
      <c r="BO28" s="31"/>
      <c r="BP28" s="38"/>
      <c r="BQ28" s="102"/>
      <c r="BR28" s="163"/>
    </row>
    <row r="29" spans="2:70">
      <c r="B29" s="661"/>
      <c r="C29" s="663"/>
      <c r="D29" s="32"/>
      <c r="E29" s="39"/>
      <c r="F29" s="37"/>
      <c r="G29" s="45"/>
      <c r="I29" s="661"/>
      <c r="J29" s="663"/>
      <c r="K29" s="32"/>
      <c r="L29" s="39"/>
      <c r="M29" s="37"/>
      <c r="N29" s="45"/>
      <c r="P29" s="661"/>
      <c r="Q29" s="663"/>
      <c r="R29" s="32"/>
      <c r="S29" s="39"/>
      <c r="T29" s="37"/>
      <c r="U29" s="45"/>
      <c r="W29" s="661"/>
      <c r="X29" s="663"/>
      <c r="Y29" s="32"/>
      <c r="Z29" s="39"/>
      <c r="AA29" s="37"/>
      <c r="AB29" s="45"/>
      <c r="AD29" s="661"/>
      <c r="AE29" s="663"/>
      <c r="AF29" s="32"/>
      <c r="AG29" s="39"/>
      <c r="AH29" s="37"/>
      <c r="AI29" s="45"/>
      <c r="AK29" s="661"/>
      <c r="AL29" s="663"/>
      <c r="AM29" s="32"/>
      <c r="AN29" s="39"/>
      <c r="AO29" s="37"/>
      <c r="AP29" s="45"/>
      <c r="AR29" s="661"/>
      <c r="AS29" s="663"/>
      <c r="AT29" s="32"/>
      <c r="AU29" s="39"/>
      <c r="AV29" s="37"/>
      <c r="AW29" s="45"/>
      <c r="AY29" s="667" t="s">
        <v>350</v>
      </c>
      <c r="AZ29" s="668"/>
      <c r="BA29" s="32" t="s">
        <v>17</v>
      </c>
      <c r="BB29" s="39">
        <v>6.15</v>
      </c>
      <c r="BC29" s="173"/>
      <c r="BD29" s="164"/>
      <c r="BF29" s="667"/>
      <c r="BG29" s="663" t="s">
        <v>625</v>
      </c>
      <c r="BH29" s="32" t="s">
        <v>40</v>
      </c>
      <c r="BI29" s="39">
        <f>BI25</f>
        <v>5.84</v>
      </c>
      <c r="BJ29" s="173"/>
      <c r="BK29" s="164"/>
      <c r="BM29" s="661"/>
      <c r="BN29" s="663"/>
      <c r="BO29" s="32"/>
      <c r="BP29" s="39"/>
      <c r="BQ29" s="101"/>
      <c r="BR29" s="164"/>
    </row>
    <row r="30" spans="2:70">
      <c r="B30" s="662"/>
      <c r="C30" s="664"/>
      <c r="D30" s="31"/>
      <c r="E30" s="38"/>
      <c r="F30" s="92"/>
      <c r="G30" s="44"/>
      <c r="I30" s="662"/>
      <c r="J30" s="664"/>
      <c r="K30" s="31"/>
      <c r="L30" s="38"/>
      <c r="M30" s="92"/>
      <c r="N30" s="44"/>
      <c r="P30" s="662"/>
      <c r="Q30" s="664"/>
      <c r="R30" s="31"/>
      <c r="S30" s="38"/>
      <c r="T30" s="92"/>
      <c r="U30" s="44"/>
      <c r="W30" s="662"/>
      <c r="X30" s="664"/>
      <c r="Y30" s="31"/>
      <c r="Z30" s="38"/>
      <c r="AA30" s="92"/>
      <c r="AB30" s="44"/>
      <c r="AD30" s="662"/>
      <c r="AE30" s="664"/>
      <c r="AF30" s="31"/>
      <c r="AG30" s="38"/>
      <c r="AH30" s="92"/>
      <c r="AI30" s="44"/>
      <c r="AK30" s="662"/>
      <c r="AL30" s="664"/>
      <c r="AM30" s="31"/>
      <c r="AN30" s="38"/>
      <c r="AO30" s="92"/>
      <c r="AP30" s="44"/>
      <c r="AR30" s="662"/>
      <c r="AS30" s="664"/>
      <c r="AT30" s="31"/>
      <c r="AU30" s="38"/>
      <c r="AV30" s="92"/>
      <c r="AW30" s="44"/>
      <c r="AY30" s="662"/>
      <c r="AZ30" s="664"/>
      <c r="BA30" s="31"/>
      <c r="BB30" s="38"/>
      <c r="BC30" s="174"/>
      <c r="BD30" s="163"/>
      <c r="BF30" s="662"/>
      <c r="BG30" s="664"/>
      <c r="BH30" s="31"/>
      <c r="BI30" s="38"/>
      <c r="BJ30" s="174"/>
      <c r="BK30" s="163"/>
      <c r="BM30" s="662"/>
      <c r="BN30" s="664"/>
      <c r="BO30" s="31"/>
      <c r="BP30" s="38"/>
      <c r="BQ30" s="102"/>
      <c r="BR30" s="163"/>
    </row>
    <row r="31" spans="2:70">
      <c r="B31" s="661"/>
      <c r="C31" s="663"/>
      <c r="D31" s="32"/>
      <c r="E31" s="39"/>
      <c r="F31" s="37"/>
      <c r="G31" s="45"/>
      <c r="I31" s="661"/>
      <c r="J31" s="663"/>
      <c r="K31" s="32"/>
      <c r="L31" s="39"/>
      <c r="M31" s="37"/>
      <c r="N31" s="45"/>
      <c r="P31" s="661"/>
      <c r="Q31" s="663"/>
      <c r="R31" s="32"/>
      <c r="S31" s="39"/>
      <c r="T31" s="37"/>
      <c r="U31" s="45"/>
      <c r="W31" s="661"/>
      <c r="X31" s="663"/>
      <c r="Y31" s="32"/>
      <c r="Z31" s="39"/>
      <c r="AA31" s="37"/>
      <c r="AB31" s="45"/>
      <c r="AD31" s="661"/>
      <c r="AE31" s="663"/>
      <c r="AF31" s="32"/>
      <c r="AG31" s="39"/>
      <c r="AH31" s="37"/>
      <c r="AI31" s="45"/>
      <c r="AK31" s="661"/>
      <c r="AL31" s="663"/>
      <c r="AM31" s="32"/>
      <c r="AN31" s="39"/>
      <c r="AO31" s="37"/>
      <c r="AP31" s="45"/>
      <c r="AR31" s="661"/>
      <c r="AS31" s="663"/>
      <c r="AT31" s="32"/>
      <c r="AU31" s="39"/>
      <c r="AV31" s="37"/>
      <c r="AW31" s="45"/>
      <c r="AY31" s="682" t="s">
        <v>104</v>
      </c>
      <c r="AZ31" s="683" t="s">
        <v>287</v>
      </c>
      <c r="BA31" s="30" t="s">
        <v>35</v>
      </c>
      <c r="BB31" s="37">
        <v>3</v>
      </c>
      <c r="BC31" s="101"/>
      <c r="BD31" s="162" t="s">
        <v>250</v>
      </c>
      <c r="BF31" s="661" t="s">
        <v>354</v>
      </c>
      <c r="BG31" s="663" t="s">
        <v>858</v>
      </c>
      <c r="BH31" s="32" t="s">
        <v>40</v>
      </c>
      <c r="BI31" s="39">
        <v>5.65</v>
      </c>
      <c r="BJ31" s="173" t="s">
        <v>902</v>
      </c>
      <c r="BK31" s="164"/>
      <c r="BM31" s="661"/>
      <c r="BN31" s="663"/>
      <c r="BO31" s="32"/>
      <c r="BP31" s="39"/>
      <c r="BQ31" s="101"/>
      <c r="BR31" s="164"/>
    </row>
    <row r="32" spans="2:70">
      <c r="B32" s="662"/>
      <c r="C32" s="664"/>
      <c r="D32" s="31"/>
      <c r="E32" s="38"/>
      <c r="F32" s="92"/>
      <c r="G32" s="44"/>
      <c r="I32" s="662"/>
      <c r="J32" s="664"/>
      <c r="K32" s="31"/>
      <c r="L32" s="38"/>
      <c r="M32" s="92"/>
      <c r="N32" s="44"/>
      <c r="P32" s="662"/>
      <c r="Q32" s="664"/>
      <c r="R32" s="31"/>
      <c r="S32" s="38"/>
      <c r="T32" s="92"/>
      <c r="U32" s="44"/>
      <c r="W32" s="662"/>
      <c r="X32" s="664"/>
      <c r="Y32" s="31"/>
      <c r="Z32" s="38"/>
      <c r="AA32" s="92"/>
      <c r="AB32" s="44"/>
      <c r="AD32" s="662"/>
      <c r="AE32" s="664"/>
      <c r="AF32" s="31"/>
      <c r="AG32" s="38"/>
      <c r="AH32" s="92"/>
      <c r="AI32" s="44"/>
      <c r="AK32" s="662"/>
      <c r="AL32" s="664"/>
      <c r="AM32" s="31"/>
      <c r="AN32" s="38"/>
      <c r="AO32" s="92"/>
      <c r="AP32" s="44"/>
      <c r="AR32" s="662"/>
      <c r="AS32" s="664"/>
      <c r="AT32" s="31"/>
      <c r="AU32" s="38"/>
      <c r="AV32" s="92"/>
      <c r="AW32" s="44"/>
      <c r="AY32" s="662"/>
      <c r="AZ32" s="664"/>
      <c r="BA32" s="31"/>
      <c r="BB32" s="38"/>
      <c r="BC32" s="102"/>
      <c r="BD32" s="163"/>
      <c r="BF32" s="662"/>
      <c r="BG32" s="664"/>
      <c r="BH32" s="31"/>
      <c r="BI32" s="38"/>
      <c r="BJ32" s="174"/>
      <c r="BK32" s="163"/>
      <c r="BM32" s="662"/>
      <c r="BN32" s="664"/>
      <c r="BO32" s="31"/>
      <c r="BP32" s="38"/>
      <c r="BQ32" s="102"/>
      <c r="BR32" s="163"/>
    </row>
    <row r="33" spans="2:70">
      <c r="B33" s="661"/>
      <c r="C33" s="663"/>
      <c r="D33" s="32"/>
      <c r="E33" s="39"/>
      <c r="F33" s="37"/>
      <c r="G33" s="45"/>
      <c r="I33" s="661"/>
      <c r="J33" s="663"/>
      <c r="K33" s="32"/>
      <c r="L33" s="39"/>
      <c r="M33" s="37"/>
      <c r="N33" s="45"/>
      <c r="P33" s="661"/>
      <c r="Q33" s="663"/>
      <c r="R33" s="32"/>
      <c r="S33" s="39"/>
      <c r="T33" s="37"/>
      <c r="U33" s="45"/>
      <c r="W33" s="661"/>
      <c r="X33" s="663"/>
      <c r="Y33" s="32"/>
      <c r="Z33" s="39"/>
      <c r="AA33" s="37"/>
      <c r="AB33" s="45"/>
      <c r="AD33" s="661"/>
      <c r="AE33" s="663"/>
      <c r="AF33" s="32"/>
      <c r="AG33" s="39"/>
      <c r="AH33" s="37"/>
      <c r="AI33" s="45"/>
      <c r="AK33" s="661"/>
      <c r="AL33" s="663"/>
      <c r="AM33" s="32"/>
      <c r="AN33" s="39"/>
      <c r="AO33" s="37"/>
      <c r="AP33" s="45"/>
      <c r="AR33" s="661"/>
      <c r="AS33" s="663"/>
      <c r="AT33" s="32"/>
      <c r="AU33" s="39"/>
      <c r="AV33" s="37"/>
      <c r="AW33" s="45"/>
      <c r="AY33" s="661" t="s">
        <v>823</v>
      </c>
      <c r="AZ33" s="663" t="s">
        <v>826</v>
      </c>
      <c r="BA33" s="32" t="s">
        <v>828</v>
      </c>
      <c r="BB33" s="39">
        <v>2.4</v>
      </c>
      <c r="BC33" s="173" t="s">
        <v>829</v>
      </c>
      <c r="BD33" s="164"/>
      <c r="BF33" s="661"/>
      <c r="BG33" s="663"/>
      <c r="BH33" s="32"/>
      <c r="BI33" s="39"/>
      <c r="BJ33" s="173"/>
      <c r="BK33" s="164"/>
      <c r="BM33" s="661"/>
      <c r="BN33" s="663"/>
      <c r="BO33" s="32"/>
      <c r="BP33" s="39"/>
      <c r="BQ33" s="101"/>
      <c r="BR33" s="164"/>
    </row>
    <row r="34" spans="2:70">
      <c r="B34" s="662"/>
      <c r="C34" s="664"/>
      <c r="D34" s="31"/>
      <c r="E34" s="38"/>
      <c r="F34" s="92"/>
      <c r="G34" s="44"/>
      <c r="I34" s="662"/>
      <c r="J34" s="664"/>
      <c r="K34" s="31"/>
      <c r="L34" s="38"/>
      <c r="M34" s="92"/>
      <c r="N34" s="44"/>
      <c r="P34" s="662"/>
      <c r="Q34" s="664"/>
      <c r="R34" s="31"/>
      <c r="S34" s="38"/>
      <c r="T34" s="92"/>
      <c r="U34" s="44"/>
      <c r="W34" s="662"/>
      <c r="X34" s="664"/>
      <c r="Y34" s="31"/>
      <c r="Z34" s="38"/>
      <c r="AA34" s="92"/>
      <c r="AB34" s="44"/>
      <c r="AD34" s="662"/>
      <c r="AE34" s="664"/>
      <c r="AF34" s="31"/>
      <c r="AG34" s="38"/>
      <c r="AH34" s="92"/>
      <c r="AI34" s="44"/>
      <c r="AK34" s="662"/>
      <c r="AL34" s="664"/>
      <c r="AM34" s="31"/>
      <c r="AN34" s="38"/>
      <c r="AO34" s="92"/>
      <c r="AP34" s="44"/>
      <c r="AR34" s="662"/>
      <c r="AS34" s="664"/>
      <c r="AT34" s="31"/>
      <c r="AU34" s="38"/>
      <c r="AV34" s="92"/>
      <c r="AW34" s="44"/>
      <c r="AY34" s="662"/>
      <c r="AZ34" s="664"/>
      <c r="BA34" s="31"/>
      <c r="BB34" s="38"/>
      <c r="BC34" s="174"/>
      <c r="BD34" s="163"/>
      <c r="BF34" s="662"/>
      <c r="BG34" s="664"/>
      <c r="BH34" s="31"/>
      <c r="BI34" s="38"/>
      <c r="BJ34" s="174"/>
      <c r="BK34" s="163"/>
      <c r="BM34" s="662"/>
      <c r="BN34" s="664"/>
      <c r="BO34" s="31"/>
      <c r="BP34" s="38"/>
      <c r="BQ34" s="102"/>
      <c r="BR34" s="163"/>
    </row>
    <row r="35" spans="2:70">
      <c r="B35" s="661"/>
      <c r="C35" s="663"/>
      <c r="D35" s="32"/>
      <c r="E35" s="39"/>
      <c r="F35" s="37"/>
      <c r="G35" s="45"/>
      <c r="I35" s="661"/>
      <c r="J35" s="663"/>
      <c r="K35" s="32"/>
      <c r="L35" s="39"/>
      <c r="M35" s="37"/>
      <c r="N35" s="45"/>
      <c r="P35" s="661"/>
      <c r="Q35" s="663"/>
      <c r="R35" s="32"/>
      <c r="S35" s="39"/>
      <c r="T35" s="37"/>
      <c r="U35" s="45"/>
      <c r="W35" s="661"/>
      <c r="X35" s="663"/>
      <c r="Y35" s="32"/>
      <c r="Z35" s="39"/>
      <c r="AA35" s="37"/>
      <c r="AB35" s="45"/>
      <c r="AD35" s="661"/>
      <c r="AE35" s="663"/>
      <c r="AF35" s="32"/>
      <c r="AG35" s="39"/>
      <c r="AH35" s="37"/>
      <c r="AI35" s="45"/>
      <c r="AK35" s="661"/>
      <c r="AL35" s="663"/>
      <c r="AM35" s="32"/>
      <c r="AN35" s="39"/>
      <c r="AO35" s="37"/>
      <c r="AP35" s="45"/>
      <c r="AR35" s="661"/>
      <c r="AS35" s="663"/>
      <c r="AT35" s="32"/>
      <c r="AU35" s="39"/>
      <c r="AV35" s="37"/>
      <c r="AW35" s="45"/>
      <c r="AY35" s="661" t="s">
        <v>824</v>
      </c>
      <c r="AZ35" s="663" t="s">
        <v>861</v>
      </c>
      <c r="BA35" s="32" t="s">
        <v>770</v>
      </c>
      <c r="BB35" s="39">
        <v>3.36</v>
      </c>
      <c r="BC35" s="173" t="s">
        <v>830</v>
      </c>
      <c r="BD35" s="164"/>
      <c r="BF35" s="661"/>
      <c r="BG35" s="663" t="s">
        <v>625</v>
      </c>
      <c r="BH35" s="32" t="s">
        <v>40</v>
      </c>
      <c r="BI35" s="39">
        <f>BI31</f>
        <v>5.65</v>
      </c>
      <c r="BJ35" s="173"/>
      <c r="BK35" s="164"/>
      <c r="BM35" s="716"/>
      <c r="BN35" s="717"/>
      <c r="BO35" s="93"/>
      <c r="BP35" s="61"/>
      <c r="BQ35" s="61"/>
      <c r="BR35" s="94"/>
    </row>
    <row r="36" spans="2:70">
      <c r="B36" s="662"/>
      <c r="C36" s="664"/>
      <c r="D36" s="31"/>
      <c r="E36" s="38"/>
      <c r="F36" s="92"/>
      <c r="G36" s="44"/>
      <c r="I36" s="662"/>
      <c r="J36" s="664"/>
      <c r="K36" s="31"/>
      <c r="L36" s="38"/>
      <c r="M36" s="92"/>
      <c r="N36" s="44"/>
      <c r="P36" s="662"/>
      <c r="Q36" s="664"/>
      <c r="R36" s="31"/>
      <c r="S36" s="38"/>
      <c r="T36" s="92"/>
      <c r="U36" s="44"/>
      <c r="W36" s="662"/>
      <c r="X36" s="664"/>
      <c r="Y36" s="31"/>
      <c r="Z36" s="38"/>
      <c r="AA36" s="92"/>
      <c r="AB36" s="44"/>
      <c r="AD36" s="662"/>
      <c r="AE36" s="664"/>
      <c r="AF36" s="31"/>
      <c r="AG36" s="38"/>
      <c r="AH36" s="92"/>
      <c r="AI36" s="44"/>
      <c r="AK36" s="662"/>
      <c r="AL36" s="664"/>
      <c r="AM36" s="31"/>
      <c r="AN36" s="38"/>
      <c r="AO36" s="92"/>
      <c r="AP36" s="44"/>
      <c r="AR36" s="662"/>
      <c r="AS36" s="664"/>
      <c r="AT36" s="31"/>
      <c r="AU36" s="38"/>
      <c r="AV36" s="92"/>
      <c r="AW36" s="44"/>
      <c r="AY36" s="662"/>
      <c r="AZ36" s="664"/>
      <c r="BA36" s="31"/>
      <c r="BB36" s="38"/>
      <c r="BC36" s="174"/>
      <c r="BD36" s="163"/>
      <c r="BF36" s="662"/>
      <c r="BG36" s="664"/>
      <c r="BH36" s="31"/>
      <c r="BI36" s="38"/>
      <c r="BJ36" s="174"/>
      <c r="BK36" s="163"/>
      <c r="BM36" s="711"/>
      <c r="BN36" s="713"/>
      <c r="BO36" s="95"/>
      <c r="BP36" s="62"/>
      <c r="BQ36" s="62"/>
      <c r="BR36" s="96"/>
    </row>
    <row r="37" spans="2:70">
      <c r="B37" s="661"/>
      <c r="C37" s="663"/>
      <c r="D37" s="32"/>
      <c r="E37" s="39"/>
      <c r="F37" s="37"/>
      <c r="G37" s="45"/>
      <c r="I37" s="661"/>
      <c r="J37" s="663"/>
      <c r="K37" s="32"/>
      <c r="L37" s="39"/>
      <c r="M37" s="37"/>
      <c r="N37" s="45"/>
      <c r="P37" s="661"/>
      <c r="Q37" s="663"/>
      <c r="R37" s="32"/>
      <c r="S37" s="39"/>
      <c r="T37" s="37"/>
      <c r="U37" s="45"/>
      <c r="W37" s="661"/>
      <c r="X37" s="663"/>
      <c r="Y37" s="32"/>
      <c r="Z37" s="39"/>
      <c r="AA37" s="37"/>
      <c r="AB37" s="45"/>
      <c r="AD37" s="661"/>
      <c r="AE37" s="663"/>
      <c r="AF37" s="32"/>
      <c r="AG37" s="39"/>
      <c r="AH37" s="37"/>
      <c r="AI37" s="45"/>
      <c r="AK37" s="661"/>
      <c r="AL37" s="663"/>
      <c r="AM37" s="32"/>
      <c r="AN37" s="39"/>
      <c r="AO37" s="37"/>
      <c r="AP37" s="45"/>
      <c r="AR37" s="661"/>
      <c r="AS37" s="663"/>
      <c r="AT37" s="32"/>
      <c r="AU37" s="39"/>
      <c r="AV37" s="37"/>
      <c r="AW37" s="45"/>
      <c r="AY37" s="661" t="s">
        <v>825</v>
      </c>
      <c r="AZ37" s="663" t="s">
        <v>862</v>
      </c>
      <c r="BA37" s="32" t="s">
        <v>770</v>
      </c>
      <c r="BB37" s="39">
        <v>1.08</v>
      </c>
      <c r="BC37" s="173" t="s">
        <v>831</v>
      </c>
      <c r="BD37" s="164"/>
      <c r="BF37" s="711"/>
      <c r="BG37" s="713"/>
      <c r="BH37" s="95"/>
      <c r="BI37" s="62"/>
      <c r="BJ37" s="62"/>
      <c r="BK37" s="96"/>
      <c r="BM37" s="711"/>
      <c r="BN37" s="713"/>
      <c r="BO37" s="95"/>
      <c r="BP37" s="62"/>
      <c r="BQ37" s="62"/>
      <c r="BR37" s="96"/>
    </row>
    <row r="38" spans="2:70">
      <c r="B38" s="662"/>
      <c r="C38" s="664"/>
      <c r="D38" s="31"/>
      <c r="E38" s="38"/>
      <c r="F38" s="92"/>
      <c r="G38" s="44"/>
      <c r="I38" s="662"/>
      <c r="J38" s="664"/>
      <c r="K38" s="31"/>
      <c r="L38" s="38"/>
      <c r="M38" s="92"/>
      <c r="N38" s="44"/>
      <c r="P38" s="662"/>
      <c r="Q38" s="664"/>
      <c r="R38" s="31"/>
      <c r="S38" s="38"/>
      <c r="T38" s="92"/>
      <c r="U38" s="44"/>
      <c r="W38" s="662"/>
      <c r="X38" s="664"/>
      <c r="Y38" s="31"/>
      <c r="Z38" s="38"/>
      <c r="AA38" s="92"/>
      <c r="AB38" s="44"/>
      <c r="AD38" s="662"/>
      <c r="AE38" s="664"/>
      <c r="AF38" s="31"/>
      <c r="AG38" s="38"/>
      <c r="AH38" s="92"/>
      <c r="AI38" s="44"/>
      <c r="AK38" s="662"/>
      <c r="AL38" s="664"/>
      <c r="AM38" s="31"/>
      <c r="AN38" s="38"/>
      <c r="AO38" s="92"/>
      <c r="AP38" s="44"/>
      <c r="AR38" s="662"/>
      <c r="AS38" s="664"/>
      <c r="AT38" s="31"/>
      <c r="AU38" s="38"/>
      <c r="AV38" s="92"/>
      <c r="AW38" s="44"/>
      <c r="AY38" s="662"/>
      <c r="AZ38" s="664"/>
      <c r="BA38" s="31"/>
      <c r="BB38" s="38"/>
      <c r="BC38" s="174"/>
      <c r="BD38" s="163"/>
      <c r="BF38" s="711"/>
      <c r="BG38" s="713"/>
      <c r="BH38" s="95"/>
      <c r="BI38" s="62"/>
      <c r="BJ38" s="62"/>
      <c r="BK38" s="96"/>
      <c r="BM38" s="711"/>
      <c r="BN38" s="713"/>
      <c r="BO38" s="95"/>
      <c r="BP38" s="62"/>
      <c r="BQ38" s="62"/>
      <c r="BR38" s="96"/>
    </row>
    <row r="39" spans="2:70">
      <c r="B39" s="661"/>
      <c r="C39" s="663"/>
      <c r="D39" s="32"/>
      <c r="E39" s="39"/>
      <c r="F39" s="37"/>
      <c r="G39" s="45"/>
      <c r="I39" s="661"/>
      <c r="J39" s="663"/>
      <c r="K39" s="32"/>
      <c r="L39" s="39"/>
      <c r="M39" s="37"/>
      <c r="N39" s="45"/>
      <c r="P39" s="661"/>
      <c r="Q39" s="663"/>
      <c r="R39" s="32"/>
      <c r="S39" s="39"/>
      <c r="T39" s="37"/>
      <c r="U39" s="45"/>
      <c r="W39" s="661"/>
      <c r="X39" s="663"/>
      <c r="Y39" s="32"/>
      <c r="Z39" s="39"/>
      <c r="AA39" s="37"/>
      <c r="AB39" s="45"/>
      <c r="AD39" s="661"/>
      <c r="AE39" s="663"/>
      <c r="AF39" s="32"/>
      <c r="AG39" s="39"/>
      <c r="AH39" s="37"/>
      <c r="AI39" s="45"/>
      <c r="AK39" s="661"/>
      <c r="AL39" s="663"/>
      <c r="AM39" s="32"/>
      <c r="AN39" s="39"/>
      <c r="AO39" s="37"/>
      <c r="AP39" s="45"/>
      <c r="AR39" s="661"/>
      <c r="AS39" s="663"/>
      <c r="AT39" s="32"/>
      <c r="AU39" s="39"/>
      <c r="AV39" s="37"/>
      <c r="AW39" s="45"/>
      <c r="AY39" s="711"/>
      <c r="AZ39" s="713"/>
      <c r="BA39" s="95"/>
      <c r="BB39" s="62"/>
      <c r="BC39" s="62"/>
      <c r="BD39" s="96"/>
      <c r="BF39" s="711"/>
      <c r="BG39" s="713"/>
      <c r="BH39" s="95"/>
      <c r="BI39" s="62"/>
      <c r="BJ39" s="62"/>
      <c r="BK39" s="96"/>
      <c r="BM39" s="711"/>
      <c r="BN39" s="713"/>
      <c r="BO39" s="95"/>
      <c r="BP39" s="62"/>
      <c r="BQ39" s="62"/>
      <c r="BR39" s="96"/>
    </row>
    <row r="40" spans="2:70">
      <c r="B40" s="662"/>
      <c r="C40" s="664"/>
      <c r="D40" s="31"/>
      <c r="E40" s="38"/>
      <c r="F40" s="92"/>
      <c r="G40" s="44"/>
      <c r="I40" s="662"/>
      <c r="J40" s="664"/>
      <c r="K40" s="31"/>
      <c r="L40" s="38"/>
      <c r="M40" s="92"/>
      <c r="N40" s="44"/>
      <c r="P40" s="662"/>
      <c r="Q40" s="664"/>
      <c r="R40" s="31"/>
      <c r="S40" s="38"/>
      <c r="T40" s="92"/>
      <c r="U40" s="44"/>
      <c r="W40" s="662"/>
      <c r="X40" s="664"/>
      <c r="Y40" s="31"/>
      <c r="Z40" s="38"/>
      <c r="AA40" s="92"/>
      <c r="AB40" s="44"/>
      <c r="AD40" s="662"/>
      <c r="AE40" s="664"/>
      <c r="AF40" s="31"/>
      <c r="AG40" s="38"/>
      <c r="AH40" s="92"/>
      <c r="AI40" s="44"/>
      <c r="AK40" s="662"/>
      <c r="AL40" s="664"/>
      <c r="AM40" s="31"/>
      <c r="AN40" s="38"/>
      <c r="AO40" s="92"/>
      <c r="AP40" s="44"/>
      <c r="AR40" s="662"/>
      <c r="AS40" s="664"/>
      <c r="AT40" s="31"/>
      <c r="AU40" s="38"/>
      <c r="AV40" s="92"/>
      <c r="AW40" s="44"/>
      <c r="AY40" s="711"/>
      <c r="AZ40" s="713"/>
      <c r="BA40" s="95"/>
      <c r="BB40" s="62"/>
      <c r="BC40" s="62"/>
      <c r="BD40" s="96"/>
      <c r="BF40" s="711"/>
      <c r="BG40" s="713"/>
      <c r="BH40" s="95"/>
      <c r="BI40" s="62"/>
      <c r="BJ40" s="62"/>
      <c r="BK40" s="96"/>
      <c r="BM40" s="711"/>
      <c r="BN40" s="713"/>
      <c r="BO40" s="95"/>
      <c r="BP40" s="62"/>
      <c r="BQ40" s="62"/>
      <c r="BR40" s="96"/>
    </row>
    <row r="41" spans="2:70">
      <c r="B41" s="661"/>
      <c r="C41" s="663"/>
      <c r="D41" s="32"/>
      <c r="E41" s="39"/>
      <c r="F41" s="37"/>
      <c r="G41" s="45"/>
      <c r="I41" s="661"/>
      <c r="J41" s="663"/>
      <c r="K41" s="32"/>
      <c r="L41" s="39"/>
      <c r="M41" s="37"/>
      <c r="N41" s="45"/>
      <c r="P41" s="661"/>
      <c r="Q41" s="663"/>
      <c r="R41" s="32"/>
      <c r="S41" s="39"/>
      <c r="T41" s="37"/>
      <c r="U41" s="45"/>
      <c r="W41" s="661"/>
      <c r="X41" s="663"/>
      <c r="Y41" s="32"/>
      <c r="Z41" s="39"/>
      <c r="AA41" s="37"/>
      <c r="AB41" s="45"/>
      <c r="AD41" s="661"/>
      <c r="AE41" s="663"/>
      <c r="AF41" s="32"/>
      <c r="AG41" s="39"/>
      <c r="AH41" s="37"/>
      <c r="AI41" s="45"/>
      <c r="AK41" s="661"/>
      <c r="AL41" s="663"/>
      <c r="AM41" s="32"/>
      <c r="AN41" s="39"/>
      <c r="AO41" s="37"/>
      <c r="AP41" s="45"/>
      <c r="AR41" s="661"/>
      <c r="AS41" s="663"/>
      <c r="AT41" s="32"/>
      <c r="AU41" s="39"/>
      <c r="AV41" s="37"/>
      <c r="AW41" s="45"/>
      <c r="AY41" s="711"/>
      <c r="AZ41" s="713"/>
      <c r="BA41" s="95"/>
      <c r="BB41" s="62"/>
      <c r="BC41" s="62"/>
      <c r="BD41" s="96"/>
      <c r="BF41" s="711"/>
      <c r="BG41" s="713"/>
      <c r="BH41" s="95"/>
      <c r="BI41" s="62"/>
      <c r="BJ41" s="62"/>
      <c r="BK41" s="96"/>
      <c r="BM41" s="711"/>
      <c r="BN41" s="713"/>
      <c r="BO41" s="95"/>
      <c r="BP41" s="62"/>
      <c r="BQ41" s="62"/>
      <c r="BR41" s="96"/>
    </row>
    <row r="42" spans="2:70">
      <c r="B42" s="662"/>
      <c r="C42" s="664"/>
      <c r="D42" s="31"/>
      <c r="E42" s="38"/>
      <c r="F42" s="92"/>
      <c r="G42" s="44"/>
      <c r="I42" s="662"/>
      <c r="J42" s="664"/>
      <c r="K42" s="31"/>
      <c r="L42" s="38"/>
      <c r="M42" s="92"/>
      <c r="N42" s="44"/>
      <c r="P42" s="662"/>
      <c r="Q42" s="664"/>
      <c r="R42" s="31"/>
      <c r="S42" s="38"/>
      <c r="T42" s="92"/>
      <c r="U42" s="44"/>
      <c r="W42" s="662"/>
      <c r="X42" s="664"/>
      <c r="Y42" s="31"/>
      <c r="Z42" s="38"/>
      <c r="AA42" s="92"/>
      <c r="AB42" s="44"/>
      <c r="AD42" s="662"/>
      <c r="AE42" s="664"/>
      <c r="AF42" s="31"/>
      <c r="AG42" s="38"/>
      <c r="AH42" s="92"/>
      <c r="AI42" s="44"/>
      <c r="AK42" s="662"/>
      <c r="AL42" s="664"/>
      <c r="AM42" s="31"/>
      <c r="AN42" s="38"/>
      <c r="AO42" s="92"/>
      <c r="AP42" s="44"/>
      <c r="AR42" s="662"/>
      <c r="AS42" s="664"/>
      <c r="AT42" s="31"/>
      <c r="AU42" s="38"/>
      <c r="AV42" s="92"/>
      <c r="AW42" s="44"/>
      <c r="AY42" s="711"/>
      <c r="AZ42" s="713"/>
      <c r="BA42" s="95"/>
      <c r="BB42" s="62"/>
      <c r="BC42" s="62"/>
      <c r="BD42" s="96"/>
      <c r="BF42" s="711"/>
      <c r="BG42" s="713"/>
      <c r="BH42" s="95"/>
      <c r="BI42" s="62"/>
      <c r="BJ42" s="62"/>
      <c r="BK42" s="96"/>
      <c r="BM42" s="711"/>
      <c r="BN42" s="713"/>
      <c r="BO42" s="95"/>
      <c r="BP42" s="62"/>
      <c r="BQ42" s="62"/>
      <c r="BR42" s="96"/>
    </row>
    <row r="43" spans="2:70">
      <c r="B43" s="661"/>
      <c r="C43" s="663"/>
      <c r="D43" s="32"/>
      <c r="E43" s="39"/>
      <c r="F43" s="37"/>
      <c r="G43" s="45"/>
      <c r="I43" s="661"/>
      <c r="J43" s="663"/>
      <c r="K43" s="32"/>
      <c r="L43" s="39"/>
      <c r="M43" s="37"/>
      <c r="N43" s="45"/>
      <c r="P43" s="661"/>
      <c r="Q43" s="663"/>
      <c r="R43" s="32"/>
      <c r="S43" s="39"/>
      <c r="T43" s="37"/>
      <c r="U43" s="45"/>
      <c r="W43" s="661"/>
      <c r="X43" s="663"/>
      <c r="Y43" s="32"/>
      <c r="Z43" s="39"/>
      <c r="AA43" s="37"/>
      <c r="AB43" s="45"/>
      <c r="AD43" s="661"/>
      <c r="AE43" s="663"/>
      <c r="AF43" s="32"/>
      <c r="AG43" s="39"/>
      <c r="AH43" s="37"/>
      <c r="AI43" s="45"/>
      <c r="AK43" s="661"/>
      <c r="AL43" s="663"/>
      <c r="AM43" s="32"/>
      <c r="AN43" s="39"/>
      <c r="AO43" s="37"/>
      <c r="AP43" s="45"/>
      <c r="AR43" s="661"/>
      <c r="AS43" s="663"/>
      <c r="AT43" s="32"/>
      <c r="AU43" s="39"/>
      <c r="AV43" s="37"/>
      <c r="AW43" s="45"/>
      <c r="AY43" s="711"/>
      <c r="AZ43" s="713"/>
      <c r="BA43" s="95"/>
      <c r="BB43" s="62"/>
      <c r="BC43" s="62"/>
      <c r="BD43" s="96"/>
      <c r="BF43" s="711"/>
      <c r="BG43" s="713"/>
      <c r="BH43" s="95"/>
      <c r="BI43" s="62"/>
      <c r="BJ43" s="62"/>
      <c r="BK43" s="96"/>
      <c r="BM43" s="711"/>
      <c r="BN43" s="713"/>
      <c r="BO43" s="95"/>
      <c r="BP43" s="62"/>
      <c r="BQ43" s="62"/>
      <c r="BR43" s="96"/>
    </row>
    <row r="44" spans="2:70">
      <c r="B44" s="662"/>
      <c r="C44" s="664"/>
      <c r="D44" s="31"/>
      <c r="E44" s="38"/>
      <c r="F44" s="92"/>
      <c r="G44" s="44"/>
      <c r="I44" s="662"/>
      <c r="J44" s="664"/>
      <c r="K44" s="31"/>
      <c r="L44" s="38"/>
      <c r="M44" s="92"/>
      <c r="N44" s="44"/>
      <c r="P44" s="662"/>
      <c r="Q44" s="664"/>
      <c r="R44" s="31"/>
      <c r="S44" s="38"/>
      <c r="T44" s="92"/>
      <c r="U44" s="44"/>
      <c r="W44" s="662"/>
      <c r="X44" s="664"/>
      <c r="Y44" s="31"/>
      <c r="Z44" s="38"/>
      <c r="AA44" s="92"/>
      <c r="AB44" s="44"/>
      <c r="AD44" s="662"/>
      <c r="AE44" s="664"/>
      <c r="AF44" s="31"/>
      <c r="AG44" s="38"/>
      <c r="AH44" s="92"/>
      <c r="AI44" s="44"/>
      <c r="AK44" s="662"/>
      <c r="AL44" s="664"/>
      <c r="AM44" s="31"/>
      <c r="AN44" s="38"/>
      <c r="AO44" s="92"/>
      <c r="AP44" s="44"/>
      <c r="AR44" s="662"/>
      <c r="AS44" s="664"/>
      <c r="AT44" s="31"/>
      <c r="AU44" s="38"/>
      <c r="AV44" s="92"/>
      <c r="AW44" s="44"/>
      <c r="AY44" s="711"/>
      <c r="AZ44" s="713"/>
      <c r="BA44" s="95"/>
      <c r="BB44" s="62"/>
      <c r="BC44" s="62"/>
      <c r="BD44" s="96"/>
      <c r="BF44" s="711"/>
      <c r="BG44" s="713"/>
      <c r="BH44" s="95"/>
      <c r="BI44" s="62"/>
      <c r="BJ44" s="62"/>
      <c r="BK44" s="96"/>
      <c r="BM44" s="711"/>
      <c r="BN44" s="713"/>
      <c r="BO44" s="95"/>
      <c r="BP44" s="62"/>
      <c r="BQ44" s="62"/>
      <c r="BR44" s="96"/>
    </row>
    <row r="45" spans="2:70">
      <c r="B45" s="661"/>
      <c r="C45" s="663"/>
      <c r="D45" s="32"/>
      <c r="E45" s="39"/>
      <c r="F45" s="37"/>
      <c r="G45" s="45"/>
      <c r="I45" s="661"/>
      <c r="J45" s="663"/>
      <c r="K45" s="32"/>
      <c r="L45" s="39"/>
      <c r="M45" s="37"/>
      <c r="N45" s="45"/>
      <c r="P45" s="661"/>
      <c r="Q45" s="663"/>
      <c r="R45" s="32"/>
      <c r="S45" s="39"/>
      <c r="T45" s="37"/>
      <c r="U45" s="45"/>
      <c r="W45" s="661"/>
      <c r="X45" s="663"/>
      <c r="Y45" s="32"/>
      <c r="Z45" s="39"/>
      <c r="AA45" s="37"/>
      <c r="AB45" s="45"/>
      <c r="AD45" s="661"/>
      <c r="AE45" s="663"/>
      <c r="AF45" s="32"/>
      <c r="AG45" s="39"/>
      <c r="AH45" s="37"/>
      <c r="AI45" s="45"/>
      <c r="AK45" s="661"/>
      <c r="AL45" s="663"/>
      <c r="AM45" s="32"/>
      <c r="AN45" s="39"/>
      <c r="AO45" s="37"/>
      <c r="AP45" s="45"/>
      <c r="AR45" s="661"/>
      <c r="AS45" s="663"/>
      <c r="AT45" s="32"/>
      <c r="AU45" s="39"/>
      <c r="AV45" s="37"/>
      <c r="AW45" s="45"/>
      <c r="AY45" s="711"/>
      <c r="AZ45" s="713"/>
      <c r="BA45" s="95"/>
      <c r="BB45" s="62"/>
      <c r="BC45" s="62"/>
      <c r="BD45" s="96"/>
      <c r="BF45" s="711"/>
      <c r="BG45" s="713"/>
      <c r="BH45" s="95"/>
      <c r="BI45" s="62"/>
      <c r="BJ45" s="62"/>
      <c r="BK45" s="96"/>
      <c r="BM45" s="711"/>
      <c r="BN45" s="713"/>
      <c r="BO45" s="95"/>
      <c r="BP45" s="62"/>
      <c r="BQ45" s="62"/>
      <c r="BR45" s="96"/>
    </row>
    <row r="46" spans="2:70">
      <c r="B46" s="662"/>
      <c r="C46" s="664"/>
      <c r="D46" s="31"/>
      <c r="E46" s="38"/>
      <c r="F46" s="92"/>
      <c r="G46" s="44"/>
      <c r="I46" s="662"/>
      <c r="J46" s="664"/>
      <c r="K46" s="31"/>
      <c r="L46" s="38"/>
      <c r="M46" s="92"/>
      <c r="N46" s="44"/>
      <c r="P46" s="662"/>
      <c r="Q46" s="664"/>
      <c r="R46" s="31"/>
      <c r="S46" s="38"/>
      <c r="T46" s="92"/>
      <c r="U46" s="44"/>
      <c r="W46" s="662"/>
      <c r="X46" s="664"/>
      <c r="Y46" s="31"/>
      <c r="Z46" s="38"/>
      <c r="AA46" s="92"/>
      <c r="AB46" s="44"/>
      <c r="AD46" s="662"/>
      <c r="AE46" s="664"/>
      <c r="AF46" s="31"/>
      <c r="AG46" s="38"/>
      <c r="AH46" s="92"/>
      <c r="AI46" s="44"/>
      <c r="AK46" s="662"/>
      <c r="AL46" s="664"/>
      <c r="AM46" s="31"/>
      <c r="AN46" s="38"/>
      <c r="AO46" s="92"/>
      <c r="AP46" s="44"/>
      <c r="AR46" s="662"/>
      <c r="AS46" s="664"/>
      <c r="AT46" s="31"/>
      <c r="AU46" s="38"/>
      <c r="AV46" s="92"/>
      <c r="AW46" s="44"/>
      <c r="AY46" s="711"/>
      <c r="AZ46" s="713"/>
      <c r="BA46" s="95"/>
      <c r="BB46" s="62"/>
      <c r="BC46" s="62"/>
      <c r="BD46" s="96"/>
      <c r="BF46" s="711"/>
      <c r="BG46" s="713"/>
      <c r="BH46" s="95"/>
      <c r="BI46" s="62"/>
      <c r="BJ46" s="62"/>
      <c r="BK46" s="96"/>
      <c r="BM46" s="711"/>
      <c r="BN46" s="713"/>
      <c r="BO46" s="95"/>
      <c r="BP46" s="62"/>
      <c r="BQ46" s="62"/>
      <c r="BR46" s="96"/>
    </row>
    <row r="47" spans="2:70">
      <c r="B47" s="671"/>
      <c r="C47" s="671"/>
      <c r="D47" s="22"/>
      <c r="E47" s="39"/>
      <c r="F47" s="37"/>
      <c r="G47" s="22"/>
      <c r="I47" s="671"/>
      <c r="J47" s="671"/>
      <c r="K47" s="22"/>
      <c r="L47" s="39"/>
      <c r="M47" s="37"/>
      <c r="N47" s="22"/>
      <c r="P47" s="671"/>
      <c r="Q47" s="671"/>
      <c r="R47" s="22"/>
      <c r="S47" s="39"/>
      <c r="T47" s="37"/>
      <c r="U47" s="22"/>
      <c r="W47" s="671"/>
      <c r="X47" s="671"/>
      <c r="Y47" s="22"/>
      <c r="Z47" s="39"/>
      <c r="AA47" s="37"/>
      <c r="AB47" s="22"/>
      <c r="AD47" s="661"/>
      <c r="AE47" s="663"/>
      <c r="AF47" s="32"/>
      <c r="AG47" s="39"/>
      <c r="AH47" s="37"/>
      <c r="AI47" s="45"/>
      <c r="AK47" s="156"/>
      <c r="AL47" s="157"/>
      <c r="AM47" s="32"/>
      <c r="AN47" s="39"/>
      <c r="AO47" s="37"/>
      <c r="AP47" s="45"/>
      <c r="AR47" s="156"/>
      <c r="AS47" s="157"/>
      <c r="AT47" s="32"/>
      <c r="AU47" s="39"/>
      <c r="AV47" s="37"/>
      <c r="AW47" s="45"/>
      <c r="AY47" s="711"/>
      <c r="AZ47" s="714"/>
      <c r="BA47" s="97"/>
      <c r="BB47" s="62"/>
      <c r="BC47" s="62"/>
      <c r="BD47" s="98"/>
      <c r="BF47" s="711"/>
      <c r="BG47" s="714"/>
      <c r="BH47" s="97"/>
      <c r="BI47" s="62"/>
      <c r="BJ47" s="62"/>
      <c r="BK47" s="98"/>
      <c r="BM47" s="711"/>
      <c r="BN47" s="714"/>
      <c r="BO47" s="97"/>
      <c r="BP47" s="62"/>
      <c r="BQ47" s="62"/>
      <c r="BR47" s="98"/>
    </row>
    <row r="48" spans="2:70">
      <c r="B48" s="662"/>
      <c r="C48" s="662"/>
      <c r="D48" s="12"/>
      <c r="E48" s="38"/>
      <c r="F48" s="92"/>
      <c r="G48" s="12"/>
      <c r="I48" s="662"/>
      <c r="J48" s="662"/>
      <c r="K48" s="12"/>
      <c r="L48" s="38"/>
      <c r="M48" s="92"/>
      <c r="N48" s="12"/>
      <c r="P48" s="662"/>
      <c r="Q48" s="662"/>
      <c r="R48" s="12"/>
      <c r="S48" s="38"/>
      <c r="T48" s="92"/>
      <c r="U48" s="12"/>
      <c r="W48" s="662"/>
      <c r="X48" s="662"/>
      <c r="Y48" s="12"/>
      <c r="Z48" s="38"/>
      <c r="AA48" s="92"/>
      <c r="AB48" s="12"/>
      <c r="AD48" s="662"/>
      <c r="AE48" s="664"/>
      <c r="AF48" s="31"/>
      <c r="AG48" s="38"/>
      <c r="AH48" s="92"/>
      <c r="AI48" s="44"/>
      <c r="AK48" s="12"/>
      <c r="AL48" s="158"/>
      <c r="AM48" s="31"/>
      <c r="AN48" s="38"/>
      <c r="AO48" s="92"/>
      <c r="AP48" s="44"/>
      <c r="AR48" s="12"/>
      <c r="AS48" s="158"/>
      <c r="AT48" s="31"/>
      <c r="AU48" s="38"/>
      <c r="AV48" s="92"/>
      <c r="AW48" s="44"/>
      <c r="AY48" s="712"/>
      <c r="AZ48" s="715"/>
      <c r="BA48" s="99"/>
      <c r="BB48" s="63"/>
      <c r="BC48" s="63"/>
      <c r="BD48" s="100"/>
      <c r="BF48" s="712"/>
      <c r="BG48" s="715"/>
      <c r="BH48" s="99"/>
      <c r="BI48" s="63"/>
      <c r="BJ48" s="63"/>
      <c r="BK48" s="100"/>
      <c r="BM48" s="712"/>
      <c r="BN48" s="715"/>
      <c r="BO48" s="99"/>
      <c r="BP48" s="63"/>
      <c r="BQ48" s="63"/>
      <c r="BR48" s="100"/>
    </row>
    <row r="49" spans="2:7">
      <c r="B49" s="14"/>
      <c r="C49" s="14"/>
      <c r="D49" s="14"/>
      <c r="E49" s="15"/>
      <c r="F49" s="15"/>
      <c r="G49" s="14"/>
    </row>
  </sheetData>
  <mergeCells count="466">
    <mergeCell ref="B2:C3"/>
    <mergeCell ref="E2:F3"/>
    <mergeCell ref="G2:G3"/>
    <mergeCell ref="I2:J3"/>
    <mergeCell ref="L2:M3"/>
    <mergeCell ref="N2:N3"/>
    <mergeCell ref="AD2:AE3"/>
    <mergeCell ref="AG2:AH3"/>
    <mergeCell ref="AI2:AI3"/>
    <mergeCell ref="AK2:AL3"/>
    <mergeCell ref="AN2:AO3"/>
    <mergeCell ref="AP2:AP3"/>
    <mergeCell ref="P2:Q3"/>
    <mergeCell ref="S2:T3"/>
    <mergeCell ref="U2:U3"/>
    <mergeCell ref="W2:X3"/>
    <mergeCell ref="Z2:AA3"/>
    <mergeCell ref="AB2:AB3"/>
    <mergeCell ref="BF2:BG3"/>
    <mergeCell ref="BI2:BJ3"/>
    <mergeCell ref="BK2:BK3"/>
    <mergeCell ref="BM2:BN3"/>
    <mergeCell ref="BP2:BQ3"/>
    <mergeCell ref="BR2:BR3"/>
    <mergeCell ref="AR2:AS3"/>
    <mergeCell ref="AU2:AV3"/>
    <mergeCell ref="AW2:AW3"/>
    <mergeCell ref="AY2:AZ3"/>
    <mergeCell ref="BB2:BC3"/>
    <mergeCell ref="BD2:BD3"/>
    <mergeCell ref="B7:B8"/>
    <mergeCell ref="C7:C8"/>
    <mergeCell ref="I7:I8"/>
    <mergeCell ref="J7:J8"/>
    <mergeCell ref="P7:P8"/>
    <mergeCell ref="Q7:Q8"/>
    <mergeCell ref="W7:W8"/>
    <mergeCell ref="X7:X8"/>
    <mergeCell ref="AR5:AR6"/>
    <mergeCell ref="W5:W6"/>
    <mergeCell ref="X5:X6"/>
    <mergeCell ref="AD5:AD6"/>
    <mergeCell ref="AE5:AE6"/>
    <mergeCell ref="AK5:AK6"/>
    <mergeCell ref="AL5:AL6"/>
    <mergeCell ref="B5:B6"/>
    <mergeCell ref="C5:C6"/>
    <mergeCell ref="I5:I6"/>
    <mergeCell ref="J5:J6"/>
    <mergeCell ref="P5:P6"/>
    <mergeCell ref="Q5:Q6"/>
    <mergeCell ref="BN7:BN8"/>
    <mergeCell ref="AD7:AD8"/>
    <mergeCell ref="AE7:AE8"/>
    <mergeCell ref="AK7:AK8"/>
    <mergeCell ref="AL7:AL8"/>
    <mergeCell ref="AR7:AR8"/>
    <mergeCell ref="AS7:AS8"/>
    <mergeCell ref="BM5:BM6"/>
    <mergeCell ref="BN5:BN6"/>
    <mergeCell ref="AS5:AS6"/>
    <mergeCell ref="AY5:AY6"/>
    <mergeCell ref="AZ5:AZ6"/>
    <mergeCell ref="BF5:BF6"/>
    <mergeCell ref="BG5:BG6"/>
    <mergeCell ref="I9:I10"/>
    <mergeCell ref="J9:J10"/>
    <mergeCell ref="P9:P10"/>
    <mergeCell ref="Q9:Q10"/>
    <mergeCell ref="AY7:AY8"/>
    <mergeCell ref="AZ7:AZ8"/>
    <mergeCell ref="BF7:BF8"/>
    <mergeCell ref="BG7:BG8"/>
    <mergeCell ref="BM7:BM8"/>
    <mergeCell ref="BM9:BM10"/>
    <mergeCell ref="BN9:BN10"/>
    <mergeCell ref="B11:B12"/>
    <mergeCell ref="C11:C12"/>
    <mergeCell ref="I11:I12"/>
    <mergeCell ref="J11:J12"/>
    <mergeCell ref="P11:P12"/>
    <mergeCell ref="Q11:Q12"/>
    <mergeCell ref="W11:W12"/>
    <mergeCell ref="X11:X12"/>
    <mergeCell ref="AR9:AR10"/>
    <mergeCell ref="AS9:AS10"/>
    <mergeCell ref="AY9:AY10"/>
    <mergeCell ref="AZ9:AZ10"/>
    <mergeCell ref="BF9:BF10"/>
    <mergeCell ref="BG9:BG10"/>
    <mergeCell ref="W9:W10"/>
    <mergeCell ref="X9:X10"/>
    <mergeCell ref="AD9:AD10"/>
    <mergeCell ref="AE9:AE10"/>
    <mergeCell ref="AK9:AK10"/>
    <mergeCell ref="AL9:AL10"/>
    <mergeCell ref="B9:B10"/>
    <mergeCell ref="C9:C10"/>
    <mergeCell ref="AY11:AY12"/>
    <mergeCell ref="AZ11:AZ12"/>
    <mergeCell ref="BF11:BF12"/>
    <mergeCell ref="BG11:BG12"/>
    <mergeCell ref="BM11:BM12"/>
    <mergeCell ref="BN11:BN12"/>
    <mergeCell ref="AD11:AD12"/>
    <mergeCell ref="AE11:AE12"/>
    <mergeCell ref="AK11:AK12"/>
    <mergeCell ref="AL11:AL12"/>
    <mergeCell ref="AR11:AR12"/>
    <mergeCell ref="AS11:AS12"/>
    <mergeCell ref="B15:B16"/>
    <mergeCell ref="C15:C16"/>
    <mergeCell ref="I15:I16"/>
    <mergeCell ref="J15:J16"/>
    <mergeCell ref="P15:P16"/>
    <mergeCell ref="Q15:Q16"/>
    <mergeCell ref="W15:W16"/>
    <mergeCell ref="X15:X16"/>
    <mergeCell ref="AR13:AR14"/>
    <mergeCell ref="W13:W14"/>
    <mergeCell ref="X13:X14"/>
    <mergeCell ref="AD13:AD14"/>
    <mergeCell ref="AE13:AE14"/>
    <mergeCell ref="AK13:AK14"/>
    <mergeCell ref="AL13:AL14"/>
    <mergeCell ref="B13:B14"/>
    <mergeCell ref="C13:C14"/>
    <mergeCell ref="I13:I14"/>
    <mergeCell ref="J13:J14"/>
    <mergeCell ref="P13:P14"/>
    <mergeCell ref="Q13:Q14"/>
    <mergeCell ref="BN15:BN16"/>
    <mergeCell ref="AD15:AD16"/>
    <mergeCell ref="AE15:AE16"/>
    <mergeCell ref="AK15:AK16"/>
    <mergeCell ref="AL15:AL16"/>
    <mergeCell ref="AR15:AR16"/>
    <mergeCell ref="AS15:AS16"/>
    <mergeCell ref="BM13:BM14"/>
    <mergeCell ref="BN13:BN14"/>
    <mergeCell ref="AS13:AS14"/>
    <mergeCell ref="AY13:AY14"/>
    <mergeCell ref="AZ13:AZ14"/>
    <mergeCell ref="BF13:BF14"/>
    <mergeCell ref="BG13:BG14"/>
    <mergeCell ref="I17:I18"/>
    <mergeCell ref="J17:J18"/>
    <mergeCell ref="P17:P18"/>
    <mergeCell ref="Q17:Q18"/>
    <mergeCell ref="AY15:AY16"/>
    <mergeCell ref="AZ15:AZ16"/>
    <mergeCell ref="BF15:BF16"/>
    <mergeCell ref="BG15:BG16"/>
    <mergeCell ref="BM15:BM16"/>
    <mergeCell ref="BM17:BM18"/>
    <mergeCell ref="BN17:BN18"/>
    <mergeCell ref="B19:B20"/>
    <mergeCell ref="C19:C20"/>
    <mergeCell ref="I19:I20"/>
    <mergeCell ref="J19:J20"/>
    <mergeCell ref="P19:P20"/>
    <mergeCell ref="Q19:Q20"/>
    <mergeCell ref="W19:W20"/>
    <mergeCell ref="X19:X20"/>
    <mergeCell ref="AR17:AR18"/>
    <mergeCell ref="AS17:AS18"/>
    <mergeCell ref="AY17:AY18"/>
    <mergeCell ref="AZ17:AZ18"/>
    <mergeCell ref="BF17:BF18"/>
    <mergeCell ref="BG17:BG18"/>
    <mergeCell ref="W17:W18"/>
    <mergeCell ref="X17:X18"/>
    <mergeCell ref="AD17:AD18"/>
    <mergeCell ref="AE17:AE18"/>
    <mergeCell ref="AK17:AK18"/>
    <mergeCell ref="AL17:AL18"/>
    <mergeCell ref="B17:B18"/>
    <mergeCell ref="C17:C18"/>
    <mergeCell ref="AY19:AY20"/>
    <mergeCell ref="AZ19:AZ20"/>
    <mergeCell ref="BF19:BF20"/>
    <mergeCell ref="BG19:BG20"/>
    <mergeCell ref="BM19:BM20"/>
    <mergeCell ref="BN19:BN20"/>
    <mergeCell ref="AD19:AD20"/>
    <mergeCell ref="AE19:AE20"/>
    <mergeCell ref="AK19:AK20"/>
    <mergeCell ref="AL19:AL20"/>
    <mergeCell ref="AR19:AR20"/>
    <mergeCell ref="AS19:AS20"/>
    <mergeCell ref="B23:B24"/>
    <mergeCell ref="C23:C24"/>
    <mergeCell ref="I23:I24"/>
    <mergeCell ref="J23:J24"/>
    <mergeCell ref="P23:P24"/>
    <mergeCell ref="Q23:Q24"/>
    <mergeCell ref="W23:W24"/>
    <mergeCell ref="X23:X24"/>
    <mergeCell ref="AR21:AR22"/>
    <mergeCell ref="W21:W22"/>
    <mergeCell ref="X21:X22"/>
    <mergeCell ref="AD21:AD22"/>
    <mergeCell ref="AE21:AE22"/>
    <mergeCell ref="AK21:AK22"/>
    <mergeCell ref="AL21:AL22"/>
    <mergeCell ref="B21:B22"/>
    <mergeCell ref="C21:C22"/>
    <mergeCell ref="I21:I22"/>
    <mergeCell ref="J21:J22"/>
    <mergeCell ref="P21:P22"/>
    <mergeCell ref="Q21:Q22"/>
    <mergeCell ref="BN23:BN24"/>
    <mergeCell ref="AD23:AD24"/>
    <mergeCell ref="AE23:AE24"/>
    <mergeCell ref="AK23:AK24"/>
    <mergeCell ref="AL23:AL24"/>
    <mergeCell ref="AR23:AR24"/>
    <mergeCell ref="AS23:AS24"/>
    <mergeCell ref="BM21:BM22"/>
    <mergeCell ref="BN21:BN22"/>
    <mergeCell ref="AS21:AS22"/>
    <mergeCell ref="AY21:AY22"/>
    <mergeCell ref="AZ21:AZ22"/>
    <mergeCell ref="BF21:BF22"/>
    <mergeCell ref="BG21:BG22"/>
    <mergeCell ref="I25:I26"/>
    <mergeCell ref="J25:J26"/>
    <mergeCell ref="P25:P26"/>
    <mergeCell ref="Q25:Q26"/>
    <mergeCell ref="AY23:AY24"/>
    <mergeCell ref="AZ23:AZ24"/>
    <mergeCell ref="BF23:BF24"/>
    <mergeCell ref="BG23:BG24"/>
    <mergeCell ref="BM23:BM24"/>
    <mergeCell ref="BM25:BM26"/>
    <mergeCell ref="BN25:BN26"/>
    <mergeCell ref="B27:B28"/>
    <mergeCell ref="C27:C28"/>
    <mergeCell ref="I27:I28"/>
    <mergeCell ref="J27:J28"/>
    <mergeCell ref="P27:P28"/>
    <mergeCell ref="Q27:Q28"/>
    <mergeCell ref="W27:W28"/>
    <mergeCell ref="X27:X28"/>
    <mergeCell ref="AR25:AR26"/>
    <mergeCell ref="AS25:AS26"/>
    <mergeCell ref="AY25:AY26"/>
    <mergeCell ref="AZ25:AZ26"/>
    <mergeCell ref="BF25:BF26"/>
    <mergeCell ref="BG25:BG26"/>
    <mergeCell ref="W25:W26"/>
    <mergeCell ref="X25:X26"/>
    <mergeCell ref="AD25:AD26"/>
    <mergeCell ref="AE25:AE26"/>
    <mergeCell ref="AK25:AK26"/>
    <mergeCell ref="AL25:AL26"/>
    <mergeCell ref="B25:B26"/>
    <mergeCell ref="C25:C26"/>
    <mergeCell ref="AY27:AY28"/>
    <mergeCell ref="AZ27:AZ28"/>
    <mergeCell ref="BF27:BF28"/>
    <mergeCell ref="BG27:BG28"/>
    <mergeCell ref="BM27:BM28"/>
    <mergeCell ref="BN27:BN28"/>
    <mergeCell ref="AD27:AD28"/>
    <mergeCell ref="AE27:AE28"/>
    <mergeCell ref="AK27:AK28"/>
    <mergeCell ref="AL27:AL28"/>
    <mergeCell ref="AR27:AR28"/>
    <mergeCell ref="AS27:AS28"/>
    <mergeCell ref="B31:B32"/>
    <mergeCell ref="C31:C32"/>
    <mergeCell ref="I31:I32"/>
    <mergeCell ref="J31:J32"/>
    <mergeCell ref="P31:P32"/>
    <mergeCell ref="Q31:Q32"/>
    <mergeCell ref="W31:W32"/>
    <mergeCell ref="X31:X32"/>
    <mergeCell ref="AR29:AR30"/>
    <mergeCell ref="W29:W30"/>
    <mergeCell ref="X29:X30"/>
    <mergeCell ref="AD29:AD30"/>
    <mergeCell ref="AE29:AE30"/>
    <mergeCell ref="AK29:AK30"/>
    <mergeCell ref="AL29:AL30"/>
    <mergeCell ref="B29:B30"/>
    <mergeCell ref="C29:C30"/>
    <mergeCell ref="I29:I30"/>
    <mergeCell ref="J29:J30"/>
    <mergeCell ref="P29:P30"/>
    <mergeCell ref="Q29:Q30"/>
    <mergeCell ref="BN31:BN32"/>
    <mergeCell ref="AD31:AD32"/>
    <mergeCell ref="AE31:AE32"/>
    <mergeCell ref="AK31:AK32"/>
    <mergeCell ref="AL31:AL32"/>
    <mergeCell ref="AR31:AR32"/>
    <mergeCell ref="AS31:AS32"/>
    <mergeCell ref="BM29:BM30"/>
    <mergeCell ref="BN29:BN30"/>
    <mergeCell ref="AS29:AS30"/>
    <mergeCell ref="AY29:AY30"/>
    <mergeCell ref="AZ29:AZ30"/>
    <mergeCell ref="BF29:BF30"/>
    <mergeCell ref="BG29:BG30"/>
    <mergeCell ref="I33:I34"/>
    <mergeCell ref="J33:J34"/>
    <mergeCell ref="P33:P34"/>
    <mergeCell ref="Q33:Q34"/>
    <mergeCell ref="AY31:AY32"/>
    <mergeCell ref="AZ31:AZ32"/>
    <mergeCell ref="BF31:BF32"/>
    <mergeCell ref="BG31:BG32"/>
    <mergeCell ref="BM31:BM32"/>
    <mergeCell ref="BM33:BM34"/>
    <mergeCell ref="BN33:BN34"/>
    <mergeCell ref="B35:B36"/>
    <mergeCell ref="C35:C36"/>
    <mergeCell ref="I35:I36"/>
    <mergeCell ref="J35:J36"/>
    <mergeCell ref="P35:P36"/>
    <mergeCell ref="Q35:Q36"/>
    <mergeCell ref="W35:W36"/>
    <mergeCell ref="X35:X36"/>
    <mergeCell ref="AR33:AR34"/>
    <mergeCell ref="AS33:AS34"/>
    <mergeCell ref="AY33:AY34"/>
    <mergeCell ref="AZ33:AZ34"/>
    <mergeCell ref="BF33:BF34"/>
    <mergeCell ref="BG33:BG34"/>
    <mergeCell ref="W33:W34"/>
    <mergeCell ref="X33:X34"/>
    <mergeCell ref="AD33:AD34"/>
    <mergeCell ref="AE33:AE34"/>
    <mergeCell ref="AK33:AK34"/>
    <mergeCell ref="AL33:AL34"/>
    <mergeCell ref="B33:B34"/>
    <mergeCell ref="C33:C34"/>
    <mergeCell ref="AY35:AY36"/>
    <mergeCell ref="AZ35:AZ36"/>
    <mergeCell ref="BF35:BF36"/>
    <mergeCell ref="BG35:BG36"/>
    <mergeCell ref="BM35:BM36"/>
    <mergeCell ref="BN35:BN36"/>
    <mergeCell ref="AD35:AD36"/>
    <mergeCell ref="AE35:AE36"/>
    <mergeCell ref="AK35:AK36"/>
    <mergeCell ref="AL35:AL36"/>
    <mergeCell ref="AR35:AR36"/>
    <mergeCell ref="AS35:AS36"/>
    <mergeCell ref="B39:B40"/>
    <mergeCell ref="C39:C40"/>
    <mergeCell ref="I39:I40"/>
    <mergeCell ref="J39:J40"/>
    <mergeCell ref="P39:P40"/>
    <mergeCell ref="Q39:Q40"/>
    <mergeCell ref="W39:W40"/>
    <mergeCell ref="X39:X40"/>
    <mergeCell ref="AR37:AR38"/>
    <mergeCell ref="W37:W38"/>
    <mergeCell ref="X37:X38"/>
    <mergeCell ref="AD37:AD38"/>
    <mergeCell ref="AE37:AE38"/>
    <mergeCell ref="AK37:AK38"/>
    <mergeCell ref="AL37:AL38"/>
    <mergeCell ref="B37:B38"/>
    <mergeCell ref="C37:C38"/>
    <mergeCell ref="I37:I38"/>
    <mergeCell ref="J37:J38"/>
    <mergeCell ref="P37:P38"/>
    <mergeCell ref="Q37:Q38"/>
    <mergeCell ref="BN39:BN40"/>
    <mergeCell ref="AD39:AD40"/>
    <mergeCell ref="AE39:AE40"/>
    <mergeCell ref="AK39:AK40"/>
    <mergeCell ref="AL39:AL40"/>
    <mergeCell ref="AR39:AR40"/>
    <mergeCell ref="AS39:AS40"/>
    <mergeCell ref="BM37:BM38"/>
    <mergeCell ref="BN37:BN38"/>
    <mergeCell ref="AS37:AS38"/>
    <mergeCell ref="AY37:AY38"/>
    <mergeCell ref="AZ37:AZ38"/>
    <mergeCell ref="BF37:BF38"/>
    <mergeCell ref="BG37:BG38"/>
    <mergeCell ref="I41:I42"/>
    <mergeCell ref="J41:J42"/>
    <mergeCell ref="P41:P42"/>
    <mergeCell ref="Q41:Q42"/>
    <mergeCell ref="AY39:AY40"/>
    <mergeCell ref="AZ39:AZ40"/>
    <mergeCell ref="BF39:BF40"/>
    <mergeCell ref="BG39:BG40"/>
    <mergeCell ref="BM39:BM40"/>
    <mergeCell ref="BM41:BM42"/>
    <mergeCell ref="BN41:BN42"/>
    <mergeCell ref="B43:B44"/>
    <mergeCell ref="C43:C44"/>
    <mergeCell ref="I43:I44"/>
    <mergeCell ref="J43:J44"/>
    <mergeCell ref="P43:P44"/>
    <mergeCell ref="Q43:Q44"/>
    <mergeCell ref="W43:W44"/>
    <mergeCell ref="X43:X44"/>
    <mergeCell ref="AR41:AR42"/>
    <mergeCell ref="AS41:AS42"/>
    <mergeCell ref="AY41:AY42"/>
    <mergeCell ref="AZ41:AZ42"/>
    <mergeCell ref="BF41:BF42"/>
    <mergeCell ref="BG41:BG42"/>
    <mergeCell ref="W41:W42"/>
    <mergeCell ref="X41:X42"/>
    <mergeCell ref="AD41:AD42"/>
    <mergeCell ref="AE41:AE42"/>
    <mergeCell ref="AK41:AK42"/>
    <mergeCell ref="AL41:AL42"/>
    <mergeCell ref="B41:B42"/>
    <mergeCell ref="C41:C42"/>
    <mergeCell ref="AY43:AY44"/>
    <mergeCell ref="AZ43:AZ44"/>
    <mergeCell ref="BF43:BF44"/>
    <mergeCell ref="BG43:BG44"/>
    <mergeCell ref="BM43:BM44"/>
    <mergeCell ref="BN43:BN44"/>
    <mergeCell ref="AD43:AD44"/>
    <mergeCell ref="AE43:AE44"/>
    <mergeCell ref="AK43:AK44"/>
    <mergeCell ref="AL43:AL44"/>
    <mergeCell ref="AR43:AR44"/>
    <mergeCell ref="AS43:AS44"/>
    <mergeCell ref="B47:B48"/>
    <mergeCell ref="C47:C48"/>
    <mergeCell ref="I47:I48"/>
    <mergeCell ref="J47:J48"/>
    <mergeCell ref="P47:P48"/>
    <mergeCell ref="Q47:Q48"/>
    <mergeCell ref="W47:W48"/>
    <mergeCell ref="X47:X48"/>
    <mergeCell ref="AR45:AR46"/>
    <mergeCell ref="W45:W46"/>
    <mergeCell ref="X45:X46"/>
    <mergeCell ref="AD45:AD46"/>
    <mergeCell ref="AE45:AE46"/>
    <mergeCell ref="AK45:AK46"/>
    <mergeCell ref="AL45:AL46"/>
    <mergeCell ref="B45:B46"/>
    <mergeCell ref="C45:C46"/>
    <mergeCell ref="I45:I46"/>
    <mergeCell ref="J45:J46"/>
    <mergeCell ref="P45:P46"/>
    <mergeCell ref="Q45:Q46"/>
    <mergeCell ref="BM47:BM48"/>
    <mergeCell ref="BN47:BN48"/>
    <mergeCell ref="AD47:AD48"/>
    <mergeCell ref="AE47:AE48"/>
    <mergeCell ref="AY47:AY48"/>
    <mergeCell ref="AZ47:AZ48"/>
    <mergeCell ref="BF47:BF48"/>
    <mergeCell ref="BG47:BG48"/>
    <mergeCell ref="BM45:BM46"/>
    <mergeCell ref="BN45:BN46"/>
    <mergeCell ref="AS45:AS46"/>
    <mergeCell ref="AY45:AY46"/>
    <mergeCell ref="AZ45:AZ46"/>
    <mergeCell ref="BF45:BF46"/>
    <mergeCell ref="BG45:BG46"/>
  </mergeCells>
  <phoneticPr fontId="3"/>
  <conditionalFormatting sqref="BK11:BK14">
    <cfRule type="duplicateValues" dxfId="1" priority="2"/>
  </conditionalFormatting>
  <conditionalFormatting sqref="BK19:BK22">
    <cfRule type="duplicateValues" dxfId="0" priority="1"/>
  </conditionalFormatting>
  <hyperlinks>
    <hyperlink ref="A1" location="menu!A1" display="menu" xr:uid="{00000000-0004-0000-2A00-000000000000}"/>
  </hyperlinks>
  <printOptions horizontalCentered="1"/>
  <pageMargins left="0.78740157480314965" right="0.19685039370078741" top="0.74803149606299213" bottom="0.74803149606299213" header="0.31496062992125984" footer="0.31496062992125984"/>
  <pageSetup paperSize="9" scale="83"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O78"/>
  <sheetViews>
    <sheetView showGridLines="0" showZeros="0" view="pageBreakPreview" topLeftCell="A15" zoomScaleNormal="100" zoomScaleSheetLayoutView="100" workbookViewId="0">
      <selection activeCell="AF48" sqref="AF48"/>
    </sheetView>
  </sheetViews>
  <sheetFormatPr defaultColWidth="5.625" defaultRowHeight="12.95" customHeight="1"/>
  <cols>
    <col min="1" max="1" width="7.625" style="175" customWidth="1"/>
    <col min="2" max="2" width="3.625" style="175" customWidth="1"/>
    <col min="3" max="5" width="5.625" style="175" customWidth="1"/>
    <col min="6" max="7" width="1.75" style="175" customWidth="1"/>
    <col min="8" max="11" width="0.875" style="175" customWidth="1"/>
    <col min="12" max="13" width="1.75" style="175" customWidth="1"/>
    <col min="14" max="14" width="5.625" style="175" customWidth="1"/>
    <col min="15" max="16" width="1.75" style="175" customWidth="1"/>
    <col min="17" max="20" width="0.875" style="175" customWidth="1"/>
    <col min="21" max="22" width="1.75" style="175" customWidth="1"/>
    <col min="23" max="23" width="5.625" style="175" customWidth="1"/>
    <col min="24" max="25" width="1.75" style="175" customWidth="1"/>
    <col min="26" max="29" width="0.875" style="175" customWidth="1"/>
    <col min="30" max="31" width="1.75" style="175" customWidth="1"/>
    <col min="32" max="32" width="5.625" style="175" customWidth="1"/>
    <col min="33" max="35" width="1.75" style="175" customWidth="1"/>
    <col min="36" max="37" width="0.875" style="175" customWidth="1"/>
    <col min="38" max="39" width="1.75" style="175" customWidth="1"/>
    <col min="40" max="40" width="1.625" style="175" customWidth="1"/>
    <col min="41" max="255" width="5.625" style="175"/>
    <col min="256" max="260" width="5.625" style="175" customWidth="1"/>
    <col min="261" max="268" width="1.75" style="175" customWidth="1"/>
    <col min="269" max="269" width="5.625" style="175" customWidth="1"/>
    <col min="270" max="277" width="1.75" style="175" customWidth="1"/>
    <col min="278" max="278" width="5.625" style="175" customWidth="1"/>
    <col min="279" max="286" width="1.75" style="175" customWidth="1"/>
    <col min="287" max="287" width="5.625" style="175" customWidth="1"/>
    <col min="288" max="295" width="1.75" style="175" customWidth="1"/>
    <col min="296" max="511" width="5.625" style="175"/>
    <col min="512" max="516" width="5.625" style="175" customWidth="1"/>
    <col min="517" max="524" width="1.75" style="175" customWidth="1"/>
    <col min="525" max="525" width="5.625" style="175" customWidth="1"/>
    <col min="526" max="533" width="1.75" style="175" customWidth="1"/>
    <col min="534" max="534" width="5.625" style="175" customWidth="1"/>
    <col min="535" max="542" width="1.75" style="175" customWidth="1"/>
    <col min="543" max="543" width="5.625" style="175" customWidth="1"/>
    <col min="544" max="551" width="1.75" style="175" customWidth="1"/>
    <col min="552" max="767" width="5.625" style="175"/>
    <col min="768" max="772" width="5.625" style="175" customWidth="1"/>
    <col min="773" max="780" width="1.75" style="175" customWidth="1"/>
    <col min="781" max="781" width="5.625" style="175" customWidth="1"/>
    <col min="782" max="789" width="1.75" style="175" customWidth="1"/>
    <col min="790" max="790" width="5.625" style="175" customWidth="1"/>
    <col min="791" max="798" width="1.75" style="175" customWidth="1"/>
    <col min="799" max="799" width="5.625" style="175" customWidth="1"/>
    <col min="800" max="807" width="1.75" style="175" customWidth="1"/>
    <col min="808" max="1023" width="5.625" style="175"/>
    <col min="1024" max="1028" width="5.625" style="175" customWidth="1"/>
    <col min="1029" max="1036" width="1.75" style="175" customWidth="1"/>
    <col min="1037" max="1037" width="5.625" style="175" customWidth="1"/>
    <col min="1038" max="1045" width="1.75" style="175" customWidth="1"/>
    <col min="1046" max="1046" width="5.625" style="175" customWidth="1"/>
    <col min="1047" max="1054" width="1.75" style="175" customWidth="1"/>
    <col min="1055" max="1055" width="5.625" style="175" customWidth="1"/>
    <col min="1056" max="1063" width="1.75" style="175" customWidth="1"/>
    <col min="1064" max="1279" width="5.625" style="175"/>
    <col min="1280" max="1284" width="5.625" style="175" customWidth="1"/>
    <col min="1285" max="1292" width="1.75" style="175" customWidth="1"/>
    <col min="1293" max="1293" width="5.625" style="175" customWidth="1"/>
    <col min="1294" max="1301" width="1.75" style="175" customWidth="1"/>
    <col min="1302" max="1302" width="5.625" style="175" customWidth="1"/>
    <col min="1303" max="1310" width="1.75" style="175" customWidth="1"/>
    <col min="1311" max="1311" width="5.625" style="175" customWidth="1"/>
    <col min="1312" max="1319" width="1.75" style="175" customWidth="1"/>
    <col min="1320" max="1535" width="5.625" style="175"/>
    <col min="1536" max="1540" width="5.625" style="175" customWidth="1"/>
    <col min="1541" max="1548" width="1.75" style="175" customWidth="1"/>
    <col min="1549" max="1549" width="5.625" style="175" customWidth="1"/>
    <col min="1550" max="1557" width="1.75" style="175" customWidth="1"/>
    <col min="1558" max="1558" width="5.625" style="175" customWidth="1"/>
    <col min="1559" max="1566" width="1.75" style="175" customWidth="1"/>
    <col min="1567" max="1567" width="5.625" style="175" customWidth="1"/>
    <col min="1568" max="1575" width="1.75" style="175" customWidth="1"/>
    <col min="1576" max="1791" width="5.625" style="175"/>
    <col min="1792" max="1796" width="5.625" style="175" customWidth="1"/>
    <col min="1797" max="1804" width="1.75" style="175" customWidth="1"/>
    <col min="1805" max="1805" width="5.625" style="175" customWidth="1"/>
    <col min="1806" max="1813" width="1.75" style="175" customWidth="1"/>
    <col min="1814" max="1814" width="5.625" style="175" customWidth="1"/>
    <col min="1815" max="1822" width="1.75" style="175" customWidth="1"/>
    <col min="1823" max="1823" width="5.625" style="175" customWidth="1"/>
    <col min="1824" max="1831" width="1.75" style="175" customWidth="1"/>
    <col min="1832" max="2047" width="5.625" style="175"/>
    <col min="2048" max="2052" width="5.625" style="175" customWidth="1"/>
    <col min="2053" max="2060" width="1.75" style="175" customWidth="1"/>
    <col min="2061" max="2061" width="5.625" style="175" customWidth="1"/>
    <col min="2062" max="2069" width="1.75" style="175" customWidth="1"/>
    <col min="2070" max="2070" width="5.625" style="175" customWidth="1"/>
    <col min="2071" max="2078" width="1.75" style="175" customWidth="1"/>
    <col min="2079" max="2079" width="5.625" style="175" customWidth="1"/>
    <col min="2080" max="2087" width="1.75" style="175" customWidth="1"/>
    <col min="2088" max="2303" width="5.625" style="175"/>
    <col min="2304" max="2308" width="5.625" style="175" customWidth="1"/>
    <col min="2309" max="2316" width="1.75" style="175" customWidth="1"/>
    <col min="2317" max="2317" width="5.625" style="175" customWidth="1"/>
    <col min="2318" max="2325" width="1.75" style="175" customWidth="1"/>
    <col min="2326" max="2326" width="5.625" style="175" customWidth="1"/>
    <col min="2327" max="2334" width="1.75" style="175" customWidth="1"/>
    <col min="2335" max="2335" width="5.625" style="175" customWidth="1"/>
    <col min="2336" max="2343" width="1.75" style="175" customWidth="1"/>
    <col min="2344" max="2559" width="5.625" style="175"/>
    <col min="2560" max="2564" width="5.625" style="175" customWidth="1"/>
    <col min="2565" max="2572" width="1.75" style="175" customWidth="1"/>
    <col min="2573" max="2573" width="5.625" style="175" customWidth="1"/>
    <col min="2574" max="2581" width="1.75" style="175" customWidth="1"/>
    <col min="2582" max="2582" width="5.625" style="175" customWidth="1"/>
    <col min="2583" max="2590" width="1.75" style="175" customWidth="1"/>
    <col min="2591" max="2591" width="5.625" style="175" customWidth="1"/>
    <col min="2592" max="2599" width="1.75" style="175" customWidth="1"/>
    <col min="2600" max="2815" width="5.625" style="175"/>
    <col min="2816" max="2820" width="5.625" style="175" customWidth="1"/>
    <col min="2821" max="2828" width="1.75" style="175" customWidth="1"/>
    <col min="2829" max="2829" width="5.625" style="175" customWidth="1"/>
    <col min="2830" max="2837" width="1.75" style="175" customWidth="1"/>
    <col min="2838" max="2838" width="5.625" style="175" customWidth="1"/>
    <col min="2839" max="2846" width="1.75" style="175" customWidth="1"/>
    <col min="2847" max="2847" width="5.625" style="175" customWidth="1"/>
    <col min="2848" max="2855" width="1.75" style="175" customWidth="1"/>
    <col min="2856" max="3071" width="5.625" style="175"/>
    <col min="3072" max="3076" width="5.625" style="175" customWidth="1"/>
    <col min="3077" max="3084" width="1.75" style="175" customWidth="1"/>
    <col min="3085" max="3085" width="5.625" style="175" customWidth="1"/>
    <col min="3086" max="3093" width="1.75" style="175" customWidth="1"/>
    <col min="3094" max="3094" width="5.625" style="175" customWidth="1"/>
    <col min="3095" max="3102" width="1.75" style="175" customWidth="1"/>
    <col min="3103" max="3103" width="5.625" style="175" customWidth="1"/>
    <col min="3104" max="3111" width="1.75" style="175" customWidth="1"/>
    <col min="3112" max="3327" width="5.625" style="175"/>
    <col min="3328" max="3332" width="5.625" style="175" customWidth="1"/>
    <col min="3333" max="3340" width="1.75" style="175" customWidth="1"/>
    <col min="3341" max="3341" width="5.625" style="175" customWidth="1"/>
    <col min="3342" max="3349" width="1.75" style="175" customWidth="1"/>
    <col min="3350" max="3350" width="5.625" style="175" customWidth="1"/>
    <col min="3351" max="3358" width="1.75" style="175" customWidth="1"/>
    <col min="3359" max="3359" width="5.625" style="175" customWidth="1"/>
    <col min="3360" max="3367" width="1.75" style="175" customWidth="1"/>
    <col min="3368" max="3583" width="5.625" style="175"/>
    <col min="3584" max="3588" width="5.625" style="175" customWidth="1"/>
    <col min="3589" max="3596" width="1.75" style="175" customWidth="1"/>
    <col min="3597" max="3597" width="5.625" style="175" customWidth="1"/>
    <col min="3598" max="3605" width="1.75" style="175" customWidth="1"/>
    <col min="3606" max="3606" width="5.625" style="175" customWidth="1"/>
    <col min="3607" max="3614" width="1.75" style="175" customWidth="1"/>
    <col min="3615" max="3615" width="5.625" style="175" customWidth="1"/>
    <col min="3616" max="3623" width="1.75" style="175" customWidth="1"/>
    <col min="3624" max="3839" width="5.625" style="175"/>
    <col min="3840" max="3844" width="5.625" style="175" customWidth="1"/>
    <col min="3845" max="3852" width="1.75" style="175" customWidth="1"/>
    <col min="3853" max="3853" width="5.625" style="175" customWidth="1"/>
    <col min="3854" max="3861" width="1.75" style="175" customWidth="1"/>
    <col min="3862" max="3862" width="5.625" style="175" customWidth="1"/>
    <col min="3863" max="3870" width="1.75" style="175" customWidth="1"/>
    <col min="3871" max="3871" width="5.625" style="175" customWidth="1"/>
    <col min="3872" max="3879" width="1.75" style="175" customWidth="1"/>
    <col min="3880" max="4095" width="5.625" style="175"/>
    <col min="4096" max="4100" width="5.625" style="175" customWidth="1"/>
    <col min="4101" max="4108" width="1.75" style="175" customWidth="1"/>
    <col min="4109" max="4109" width="5.625" style="175" customWidth="1"/>
    <col min="4110" max="4117" width="1.75" style="175" customWidth="1"/>
    <col min="4118" max="4118" width="5.625" style="175" customWidth="1"/>
    <col min="4119" max="4126" width="1.75" style="175" customWidth="1"/>
    <col min="4127" max="4127" width="5.625" style="175" customWidth="1"/>
    <col min="4128" max="4135" width="1.75" style="175" customWidth="1"/>
    <col min="4136" max="4351" width="5.625" style="175"/>
    <col min="4352" max="4356" width="5.625" style="175" customWidth="1"/>
    <col min="4357" max="4364" width="1.75" style="175" customWidth="1"/>
    <col min="4365" max="4365" width="5.625" style="175" customWidth="1"/>
    <col min="4366" max="4373" width="1.75" style="175" customWidth="1"/>
    <col min="4374" max="4374" width="5.625" style="175" customWidth="1"/>
    <col min="4375" max="4382" width="1.75" style="175" customWidth="1"/>
    <col min="4383" max="4383" width="5.625" style="175" customWidth="1"/>
    <col min="4384" max="4391" width="1.75" style="175" customWidth="1"/>
    <col min="4392" max="4607" width="5.625" style="175"/>
    <col min="4608" max="4612" width="5.625" style="175" customWidth="1"/>
    <col min="4613" max="4620" width="1.75" style="175" customWidth="1"/>
    <col min="4621" max="4621" width="5.625" style="175" customWidth="1"/>
    <col min="4622" max="4629" width="1.75" style="175" customWidth="1"/>
    <col min="4630" max="4630" width="5.625" style="175" customWidth="1"/>
    <col min="4631" max="4638" width="1.75" style="175" customWidth="1"/>
    <col min="4639" max="4639" width="5.625" style="175" customWidth="1"/>
    <col min="4640" max="4647" width="1.75" style="175" customWidth="1"/>
    <col min="4648" max="4863" width="5.625" style="175"/>
    <col min="4864" max="4868" width="5.625" style="175" customWidth="1"/>
    <col min="4869" max="4876" width="1.75" style="175" customWidth="1"/>
    <col min="4877" max="4877" width="5.625" style="175" customWidth="1"/>
    <col min="4878" max="4885" width="1.75" style="175" customWidth="1"/>
    <col min="4886" max="4886" width="5.625" style="175" customWidth="1"/>
    <col min="4887" max="4894" width="1.75" style="175" customWidth="1"/>
    <col min="4895" max="4895" width="5.625" style="175" customWidth="1"/>
    <col min="4896" max="4903" width="1.75" style="175" customWidth="1"/>
    <col min="4904" max="5119" width="5.625" style="175"/>
    <col min="5120" max="5124" width="5.625" style="175" customWidth="1"/>
    <col min="5125" max="5132" width="1.75" style="175" customWidth="1"/>
    <col min="5133" max="5133" width="5.625" style="175" customWidth="1"/>
    <col min="5134" max="5141" width="1.75" style="175" customWidth="1"/>
    <col min="5142" max="5142" width="5.625" style="175" customWidth="1"/>
    <col min="5143" max="5150" width="1.75" style="175" customWidth="1"/>
    <col min="5151" max="5151" width="5.625" style="175" customWidth="1"/>
    <col min="5152" max="5159" width="1.75" style="175" customWidth="1"/>
    <col min="5160" max="5375" width="5.625" style="175"/>
    <col min="5376" max="5380" width="5.625" style="175" customWidth="1"/>
    <col min="5381" max="5388" width="1.75" style="175" customWidth="1"/>
    <col min="5389" max="5389" width="5.625" style="175" customWidth="1"/>
    <col min="5390" max="5397" width="1.75" style="175" customWidth="1"/>
    <col min="5398" max="5398" width="5.625" style="175" customWidth="1"/>
    <col min="5399" max="5406" width="1.75" style="175" customWidth="1"/>
    <col min="5407" max="5407" width="5.625" style="175" customWidth="1"/>
    <col min="5408" max="5415" width="1.75" style="175" customWidth="1"/>
    <col min="5416" max="5631" width="5.625" style="175"/>
    <col min="5632" max="5636" width="5.625" style="175" customWidth="1"/>
    <col min="5637" max="5644" width="1.75" style="175" customWidth="1"/>
    <col min="5645" max="5645" width="5.625" style="175" customWidth="1"/>
    <col min="5646" max="5653" width="1.75" style="175" customWidth="1"/>
    <col min="5654" max="5654" width="5.625" style="175" customWidth="1"/>
    <col min="5655" max="5662" width="1.75" style="175" customWidth="1"/>
    <col min="5663" max="5663" width="5.625" style="175" customWidth="1"/>
    <col min="5664" max="5671" width="1.75" style="175" customWidth="1"/>
    <col min="5672" max="5887" width="5.625" style="175"/>
    <col min="5888" max="5892" width="5.625" style="175" customWidth="1"/>
    <col min="5893" max="5900" width="1.75" style="175" customWidth="1"/>
    <col min="5901" max="5901" width="5.625" style="175" customWidth="1"/>
    <col min="5902" max="5909" width="1.75" style="175" customWidth="1"/>
    <col min="5910" max="5910" width="5.625" style="175" customWidth="1"/>
    <col min="5911" max="5918" width="1.75" style="175" customWidth="1"/>
    <col min="5919" max="5919" width="5.625" style="175" customWidth="1"/>
    <col min="5920" max="5927" width="1.75" style="175" customWidth="1"/>
    <col min="5928" max="6143" width="5.625" style="175"/>
    <col min="6144" max="6148" width="5.625" style="175" customWidth="1"/>
    <col min="6149" max="6156" width="1.75" style="175" customWidth="1"/>
    <col min="6157" max="6157" width="5.625" style="175" customWidth="1"/>
    <col min="6158" max="6165" width="1.75" style="175" customWidth="1"/>
    <col min="6166" max="6166" width="5.625" style="175" customWidth="1"/>
    <col min="6167" max="6174" width="1.75" style="175" customWidth="1"/>
    <col min="6175" max="6175" width="5.625" style="175" customWidth="1"/>
    <col min="6176" max="6183" width="1.75" style="175" customWidth="1"/>
    <col min="6184" max="6399" width="5.625" style="175"/>
    <col min="6400" max="6404" width="5.625" style="175" customWidth="1"/>
    <col min="6405" max="6412" width="1.75" style="175" customWidth="1"/>
    <col min="6413" max="6413" width="5.625" style="175" customWidth="1"/>
    <col min="6414" max="6421" width="1.75" style="175" customWidth="1"/>
    <col min="6422" max="6422" width="5.625" style="175" customWidth="1"/>
    <col min="6423" max="6430" width="1.75" style="175" customWidth="1"/>
    <col min="6431" max="6431" width="5.625" style="175" customWidth="1"/>
    <col min="6432" max="6439" width="1.75" style="175" customWidth="1"/>
    <col min="6440" max="6655" width="5.625" style="175"/>
    <col min="6656" max="6660" width="5.625" style="175" customWidth="1"/>
    <col min="6661" max="6668" width="1.75" style="175" customWidth="1"/>
    <col min="6669" max="6669" width="5.625" style="175" customWidth="1"/>
    <col min="6670" max="6677" width="1.75" style="175" customWidth="1"/>
    <col min="6678" max="6678" width="5.625" style="175" customWidth="1"/>
    <col min="6679" max="6686" width="1.75" style="175" customWidth="1"/>
    <col min="6687" max="6687" width="5.625" style="175" customWidth="1"/>
    <col min="6688" max="6695" width="1.75" style="175" customWidth="1"/>
    <col min="6696" max="6911" width="5.625" style="175"/>
    <col min="6912" max="6916" width="5.625" style="175" customWidth="1"/>
    <col min="6917" max="6924" width="1.75" style="175" customWidth="1"/>
    <col min="6925" max="6925" width="5.625" style="175" customWidth="1"/>
    <col min="6926" max="6933" width="1.75" style="175" customWidth="1"/>
    <col min="6934" max="6934" width="5.625" style="175" customWidth="1"/>
    <col min="6935" max="6942" width="1.75" style="175" customWidth="1"/>
    <col min="6943" max="6943" width="5.625" style="175" customWidth="1"/>
    <col min="6944" max="6951" width="1.75" style="175" customWidth="1"/>
    <col min="6952" max="7167" width="5.625" style="175"/>
    <col min="7168" max="7172" width="5.625" style="175" customWidth="1"/>
    <col min="7173" max="7180" width="1.75" style="175" customWidth="1"/>
    <col min="7181" max="7181" width="5.625" style="175" customWidth="1"/>
    <col min="7182" max="7189" width="1.75" style="175" customWidth="1"/>
    <col min="7190" max="7190" width="5.625" style="175" customWidth="1"/>
    <col min="7191" max="7198" width="1.75" style="175" customWidth="1"/>
    <col min="7199" max="7199" width="5.625" style="175" customWidth="1"/>
    <col min="7200" max="7207" width="1.75" style="175" customWidth="1"/>
    <col min="7208" max="7423" width="5.625" style="175"/>
    <col min="7424" max="7428" width="5.625" style="175" customWidth="1"/>
    <col min="7429" max="7436" width="1.75" style="175" customWidth="1"/>
    <col min="7437" max="7437" width="5.625" style="175" customWidth="1"/>
    <col min="7438" max="7445" width="1.75" style="175" customWidth="1"/>
    <col min="7446" max="7446" width="5.625" style="175" customWidth="1"/>
    <col min="7447" max="7454" width="1.75" style="175" customWidth="1"/>
    <col min="7455" max="7455" width="5.625" style="175" customWidth="1"/>
    <col min="7456" max="7463" width="1.75" style="175" customWidth="1"/>
    <col min="7464" max="7679" width="5.625" style="175"/>
    <col min="7680" max="7684" width="5.625" style="175" customWidth="1"/>
    <col min="7685" max="7692" width="1.75" style="175" customWidth="1"/>
    <col min="7693" max="7693" width="5.625" style="175" customWidth="1"/>
    <col min="7694" max="7701" width="1.75" style="175" customWidth="1"/>
    <col min="7702" max="7702" width="5.625" style="175" customWidth="1"/>
    <col min="7703" max="7710" width="1.75" style="175" customWidth="1"/>
    <col min="7711" max="7711" width="5.625" style="175" customWidth="1"/>
    <col min="7712" max="7719" width="1.75" style="175" customWidth="1"/>
    <col min="7720" max="7935" width="5.625" style="175"/>
    <col min="7936" max="7940" width="5.625" style="175" customWidth="1"/>
    <col min="7941" max="7948" width="1.75" style="175" customWidth="1"/>
    <col min="7949" max="7949" width="5.625" style="175" customWidth="1"/>
    <col min="7950" max="7957" width="1.75" style="175" customWidth="1"/>
    <col min="7958" max="7958" width="5.625" style="175" customWidth="1"/>
    <col min="7959" max="7966" width="1.75" style="175" customWidth="1"/>
    <col min="7967" max="7967" width="5.625" style="175" customWidth="1"/>
    <col min="7968" max="7975" width="1.75" style="175" customWidth="1"/>
    <col min="7976" max="8191" width="5.625" style="175"/>
    <col min="8192" max="8196" width="5.625" style="175" customWidth="1"/>
    <col min="8197" max="8204" width="1.75" style="175" customWidth="1"/>
    <col min="8205" max="8205" width="5.625" style="175" customWidth="1"/>
    <col min="8206" max="8213" width="1.75" style="175" customWidth="1"/>
    <col min="8214" max="8214" width="5.625" style="175" customWidth="1"/>
    <col min="8215" max="8222" width="1.75" style="175" customWidth="1"/>
    <col min="8223" max="8223" width="5.625" style="175" customWidth="1"/>
    <col min="8224" max="8231" width="1.75" style="175" customWidth="1"/>
    <col min="8232" max="8447" width="5.625" style="175"/>
    <col min="8448" max="8452" width="5.625" style="175" customWidth="1"/>
    <col min="8453" max="8460" width="1.75" style="175" customWidth="1"/>
    <col min="8461" max="8461" width="5.625" style="175" customWidth="1"/>
    <col min="8462" max="8469" width="1.75" style="175" customWidth="1"/>
    <col min="8470" max="8470" width="5.625" style="175" customWidth="1"/>
    <col min="8471" max="8478" width="1.75" style="175" customWidth="1"/>
    <col min="8479" max="8479" width="5.625" style="175" customWidth="1"/>
    <col min="8480" max="8487" width="1.75" style="175" customWidth="1"/>
    <col min="8488" max="8703" width="5.625" style="175"/>
    <col min="8704" max="8708" width="5.625" style="175" customWidth="1"/>
    <col min="8709" max="8716" width="1.75" style="175" customWidth="1"/>
    <col min="8717" max="8717" width="5.625" style="175" customWidth="1"/>
    <col min="8718" max="8725" width="1.75" style="175" customWidth="1"/>
    <col min="8726" max="8726" width="5.625" style="175" customWidth="1"/>
    <col min="8727" max="8734" width="1.75" style="175" customWidth="1"/>
    <col min="8735" max="8735" width="5.625" style="175" customWidth="1"/>
    <col min="8736" max="8743" width="1.75" style="175" customWidth="1"/>
    <col min="8744" max="8959" width="5.625" style="175"/>
    <col min="8960" max="8964" width="5.625" style="175" customWidth="1"/>
    <col min="8965" max="8972" width="1.75" style="175" customWidth="1"/>
    <col min="8973" max="8973" width="5.625" style="175" customWidth="1"/>
    <col min="8974" max="8981" width="1.75" style="175" customWidth="1"/>
    <col min="8982" max="8982" width="5.625" style="175" customWidth="1"/>
    <col min="8983" max="8990" width="1.75" style="175" customWidth="1"/>
    <col min="8991" max="8991" width="5.625" style="175" customWidth="1"/>
    <col min="8992" max="8999" width="1.75" style="175" customWidth="1"/>
    <col min="9000" max="9215" width="5.625" style="175"/>
    <col min="9216" max="9220" width="5.625" style="175" customWidth="1"/>
    <col min="9221" max="9228" width="1.75" style="175" customWidth="1"/>
    <col min="9229" max="9229" width="5.625" style="175" customWidth="1"/>
    <col min="9230" max="9237" width="1.75" style="175" customWidth="1"/>
    <col min="9238" max="9238" width="5.625" style="175" customWidth="1"/>
    <col min="9239" max="9246" width="1.75" style="175" customWidth="1"/>
    <col min="9247" max="9247" width="5.625" style="175" customWidth="1"/>
    <col min="9248" max="9255" width="1.75" style="175" customWidth="1"/>
    <col min="9256" max="9471" width="5.625" style="175"/>
    <col min="9472" max="9476" width="5.625" style="175" customWidth="1"/>
    <col min="9477" max="9484" width="1.75" style="175" customWidth="1"/>
    <col min="9485" max="9485" width="5.625" style="175" customWidth="1"/>
    <col min="9486" max="9493" width="1.75" style="175" customWidth="1"/>
    <col min="9494" max="9494" width="5.625" style="175" customWidth="1"/>
    <col min="9495" max="9502" width="1.75" style="175" customWidth="1"/>
    <col min="9503" max="9503" width="5.625" style="175" customWidth="1"/>
    <col min="9504" max="9511" width="1.75" style="175" customWidth="1"/>
    <col min="9512" max="9727" width="5.625" style="175"/>
    <col min="9728" max="9732" width="5.625" style="175" customWidth="1"/>
    <col min="9733" max="9740" width="1.75" style="175" customWidth="1"/>
    <col min="9741" max="9741" width="5.625" style="175" customWidth="1"/>
    <col min="9742" max="9749" width="1.75" style="175" customWidth="1"/>
    <col min="9750" max="9750" width="5.625" style="175" customWidth="1"/>
    <col min="9751" max="9758" width="1.75" style="175" customWidth="1"/>
    <col min="9759" max="9759" width="5.625" style="175" customWidth="1"/>
    <col min="9760" max="9767" width="1.75" style="175" customWidth="1"/>
    <col min="9768" max="9983" width="5.625" style="175"/>
    <col min="9984" max="9988" width="5.625" style="175" customWidth="1"/>
    <col min="9989" max="9996" width="1.75" style="175" customWidth="1"/>
    <col min="9997" max="9997" width="5.625" style="175" customWidth="1"/>
    <col min="9998" max="10005" width="1.75" style="175" customWidth="1"/>
    <col min="10006" max="10006" width="5.625" style="175" customWidth="1"/>
    <col min="10007" max="10014" width="1.75" style="175" customWidth="1"/>
    <col min="10015" max="10015" width="5.625" style="175" customWidth="1"/>
    <col min="10016" max="10023" width="1.75" style="175" customWidth="1"/>
    <col min="10024" max="10239" width="5.625" style="175"/>
    <col min="10240" max="10244" width="5.625" style="175" customWidth="1"/>
    <col min="10245" max="10252" width="1.75" style="175" customWidth="1"/>
    <col min="10253" max="10253" width="5.625" style="175" customWidth="1"/>
    <col min="10254" max="10261" width="1.75" style="175" customWidth="1"/>
    <col min="10262" max="10262" width="5.625" style="175" customWidth="1"/>
    <col min="10263" max="10270" width="1.75" style="175" customWidth="1"/>
    <col min="10271" max="10271" width="5.625" style="175" customWidth="1"/>
    <col min="10272" max="10279" width="1.75" style="175" customWidth="1"/>
    <col min="10280" max="10495" width="5.625" style="175"/>
    <col min="10496" max="10500" width="5.625" style="175" customWidth="1"/>
    <col min="10501" max="10508" width="1.75" style="175" customWidth="1"/>
    <col min="10509" max="10509" width="5.625" style="175" customWidth="1"/>
    <col min="10510" max="10517" width="1.75" style="175" customWidth="1"/>
    <col min="10518" max="10518" width="5.625" style="175" customWidth="1"/>
    <col min="10519" max="10526" width="1.75" style="175" customWidth="1"/>
    <col min="10527" max="10527" width="5.625" style="175" customWidth="1"/>
    <col min="10528" max="10535" width="1.75" style="175" customWidth="1"/>
    <col min="10536" max="10751" width="5.625" style="175"/>
    <col min="10752" max="10756" width="5.625" style="175" customWidth="1"/>
    <col min="10757" max="10764" width="1.75" style="175" customWidth="1"/>
    <col min="10765" max="10765" width="5.625" style="175" customWidth="1"/>
    <col min="10766" max="10773" width="1.75" style="175" customWidth="1"/>
    <col min="10774" max="10774" width="5.625" style="175" customWidth="1"/>
    <col min="10775" max="10782" width="1.75" style="175" customWidth="1"/>
    <col min="10783" max="10783" width="5.625" style="175" customWidth="1"/>
    <col min="10784" max="10791" width="1.75" style="175" customWidth="1"/>
    <col min="10792" max="11007" width="5.625" style="175"/>
    <col min="11008" max="11012" width="5.625" style="175" customWidth="1"/>
    <col min="11013" max="11020" width="1.75" style="175" customWidth="1"/>
    <col min="11021" max="11021" width="5.625" style="175" customWidth="1"/>
    <col min="11022" max="11029" width="1.75" style="175" customWidth="1"/>
    <col min="11030" max="11030" width="5.625" style="175" customWidth="1"/>
    <col min="11031" max="11038" width="1.75" style="175" customWidth="1"/>
    <col min="11039" max="11039" width="5.625" style="175" customWidth="1"/>
    <col min="11040" max="11047" width="1.75" style="175" customWidth="1"/>
    <col min="11048" max="11263" width="5.625" style="175"/>
    <col min="11264" max="11268" width="5.625" style="175" customWidth="1"/>
    <col min="11269" max="11276" width="1.75" style="175" customWidth="1"/>
    <col min="11277" max="11277" width="5.625" style="175" customWidth="1"/>
    <col min="11278" max="11285" width="1.75" style="175" customWidth="1"/>
    <col min="11286" max="11286" width="5.625" style="175" customWidth="1"/>
    <col min="11287" max="11294" width="1.75" style="175" customWidth="1"/>
    <col min="11295" max="11295" width="5.625" style="175" customWidth="1"/>
    <col min="11296" max="11303" width="1.75" style="175" customWidth="1"/>
    <col min="11304" max="11519" width="5.625" style="175"/>
    <col min="11520" max="11524" width="5.625" style="175" customWidth="1"/>
    <col min="11525" max="11532" width="1.75" style="175" customWidth="1"/>
    <col min="11533" max="11533" width="5.625" style="175" customWidth="1"/>
    <col min="11534" max="11541" width="1.75" style="175" customWidth="1"/>
    <col min="11542" max="11542" width="5.625" style="175" customWidth="1"/>
    <col min="11543" max="11550" width="1.75" style="175" customWidth="1"/>
    <col min="11551" max="11551" width="5.625" style="175" customWidth="1"/>
    <col min="11552" max="11559" width="1.75" style="175" customWidth="1"/>
    <col min="11560" max="11775" width="5.625" style="175"/>
    <col min="11776" max="11780" width="5.625" style="175" customWidth="1"/>
    <col min="11781" max="11788" width="1.75" style="175" customWidth="1"/>
    <col min="11789" max="11789" width="5.625" style="175" customWidth="1"/>
    <col min="11790" max="11797" width="1.75" style="175" customWidth="1"/>
    <col min="11798" max="11798" width="5.625" style="175" customWidth="1"/>
    <col min="11799" max="11806" width="1.75" style="175" customWidth="1"/>
    <col min="11807" max="11807" width="5.625" style="175" customWidth="1"/>
    <col min="11808" max="11815" width="1.75" style="175" customWidth="1"/>
    <col min="11816" max="12031" width="5.625" style="175"/>
    <col min="12032" max="12036" width="5.625" style="175" customWidth="1"/>
    <col min="12037" max="12044" width="1.75" style="175" customWidth="1"/>
    <col min="12045" max="12045" width="5.625" style="175" customWidth="1"/>
    <col min="12046" max="12053" width="1.75" style="175" customWidth="1"/>
    <col min="12054" max="12054" width="5.625" style="175" customWidth="1"/>
    <col min="12055" max="12062" width="1.75" style="175" customWidth="1"/>
    <col min="12063" max="12063" width="5.625" style="175" customWidth="1"/>
    <col min="12064" max="12071" width="1.75" style="175" customWidth="1"/>
    <col min="12072" max="12287" width="5.625" style="175"/>
    <col min="12288" max="12292" width="5.625" style="175" customWidth="1"/>
    <col min="12293" max="12300" width="1.75" style="175" customWidth="1"/>
    <col min="12301" max="12301" width="5.625" style="175" customWidth="1"/>
    <col min="12302" max="12309" width="1.75" style="175" customWidth="1"/>
    <col min="12310" max="12310" width="5.625" style="175" customWidth="1"/>
    <col min="12311" max="12318" width="1.75" style="175" customWidth="1"/>
    <col min="12319" max="12319" width="5.625" style="175" customWidth="1"/>
    <col min="12320" max="12327" width="1.75" style="175" customWidth="1"/>
    <col min="12328" max="12543" width="5.625" style="175"/>
    <col min="12544" max="12548" width="5.625" style="175" customWidth="1"/>
    <col min="12549" max="12556" width="1.75" style="175" customWidth="1"/>
    <col min="12557" max="12557" width="5.625" style="175" customWidth="1"/>
    <col min="12558" max="12565" width="1.75" style="175" customWidth="1"/>
    <col min="12566" max="12566" width="5.625" style="175" customWidth="1"/>
    <col min="12567" max="12574" width="1.75" style="175" customWidth="1"/>
    <col min="12575" max="12575" width="5.625" style="175" customWidth="1"/>
    <col min="12576" max="12583" width="1.75" style="175" customWidth="1"/>
    <col min="12584" max="12799" width="5.625" style="175"/>
    <col min="12800" max="12804" width="5.625" style="175" customWidth="1"/>
    <col min="12805" max="12812" width="1.75" style="175" customWidth="1"/>
    <col min="12813" max="12813" width="5.625" style="175" customWidth="1"/>
    <col min="12814" max="12821" width="1.75" style="175" customWidth="1"/>
    <col min="12822" max="12822" width="5.625" style="175" customWidth="1"/>
    <col min="12823" max="12830" width="1.75" style="175" customWidth="1"/>
    <col min="12831" max="12831" width="5.625" style="175" customWidth="1"/>
    <col min="12832" max="12839" width="1.75" style="175" customWidth="1"/>
    <col min="12840" max="13055" width="5.625" style="175"/>
    <col min="13056" max="13060" width="5.625" style="175" customWidth="1"/>
    <col min="13061" max="13068" width="1.75" style="175" customWidth="1"/>
    <col min="13069" max="13069" width="5.625" style="175" customWidth="1"/>
    <col min="13070" max="13077" width="1.75" style="175" customWidth="1"/>
    <col min="13078" max="13078" width="5.625" style="175" customWidth="1"/>
    <col min="13079" max="13086" width="1.75" style="175" customWidth="1"/>
    <col min="13087" max="13087" width="5.625" style="175" customWidth="1"/>
    <col min="13088" max="13095" width="1.75" style="175" customWidth="1"/>
    <col min="13096" max="13311" width="5.625" style="175"/>
    <col min="13312" max="13316" width="5.625" style="175" customWidth="1"/>
    <col min="13317" max="13324" width="1.75" style="175" customWidth="1"/>
    <col min="13325" max="13325" width="5.625" style="175" customWidth="1"/>
    <col min="13326" max="13333" width="1.75" style="175" customWidth="1"/>
    <col min="13334" max="13334" width="5.625" style="175" customWidth="1"/>
    <col min="13335" max="13342" width="1.75" style="175" customWidth="1"/>
    <col min="13343" max="13343" width="5.625" style="175" customWidth="1"/>
    <col min="13344" max="13351" width="1.75" style="175" customWidth="1"/>
    <col min="13352" max="13567" width="5.625" style="175"/>
    <col min="13568" max="13572" width="5.625" style="175" customWidth="1"/>
    <col min="13573" max="13580" width="1.75" style="175" customWidth="1"/>
    <col min="13581" max="13581" width="5.625" style="175" customWidth="1"/>
    <col min="13582" max="13589" width="1.75" style="175" customWidth="1"/>
    <col min="13590" max="13590" width="5.625" style="175" customWidth="1"/>
    <col min="13591" max="13598" width="1.75" style="175" customWidth="1"/>
    <col min="13599" max="13599" width="5.625" style="175" customWidth="1"/>
    <col min="13600" max="13607" width="1.75" style="175" customWidth="1"/>
    <col min="13608" max="13823" width="5.625" style="175"/>
    <col min="13824" max="13828" width="5.625" style="175" customWidth="1"/>
    <col min="13829" max="13836" width="1.75" style="175" customWidth="1"/>
    <col min="13837" max="13837" width="5.625" style="175" customWidth="1"/>
    <col min="13838" max="13845" width="1.75" style="175" customWidth="1"/>
    <col min="13846" max="13846" width="5.625" style="175" customWidth="1"/>
    <col min="13847" max="13854" width="1.75" style="175" customWidth="1"/>
    <col min="13855" max="13855" width="5.625" style="175" customWidth="1"/>
    <col min="13856" max="13863" width="1.75" style="175" customWidth="1"/>
    <col min="13864" max="14079" width="5.625" style="175"/>
    <col min="14080" max="14084" width="5.625" style="175" customWidth="1"/>
    <col min="14085" max="14092" width="1.75" style="175" customWidth="1"/>
    <col min="14093" max="14093" width="5.625" style="175" customWidth="1"/>
    <col min="14094" max="14101" width="1.75" style="175" customWidth="1"/>
    <col min="14102" max="14102" width="5.625" style="175" customWidth="1"/>
    <col min="14103" max="14110" width="1.75" style="175" customWidth="1"/>
    <col min="14111" max="14111" width="5.625" style="175" customWidth="1"/>
    <col min="14112" max="14119" width="1.75" style="175" customWidth="1"/>
    <col min="14120" max="14335" width="5.625" style="175"/>
    <col min="14336" max="14340" width="5.625" style="175" customWidth="1"/>
    <col min="14341" max="14348" width="1.75" style="175" customWidth="1"/>
    <col min="14349" max="14349" width="5.625" style="175" customWidth="1"/>
    <col min="14350" max="14357" width="1.75" style="175" customWidth="1"/>
    <col min="14358" max="14358" width="5.625" style="175" customWidth="1"/>
    <col min="14359" max="14366" width="1.75" style="175" customWidth="1"/>
    <col min="14367" max="14367" width="5.625" style="175" customWidth="1"/>
    <col min="14368" max="14375" width="1.75" style="175" customWidth="1"/>
    <col min="14376" max="14591" width="5.625" style="175"/>
    <col min="14592" max="14596" width="5.625" style="175" customWidth="1"/>
    <col min="14597" max="14604" width="1.75" style="175" customWidth="1"/>
    <col min="14605" max="14605" width="5.625" style="175" customWidth="1"/>
    <col min="14606" max="14613" width="1.75" style="175" customWidth="1"/>
    <col min="14614" max="14614" width="5.625" style="175" customWidth="1"/>
    <col min="14615" max="14622" width="1.75" style="175" customWidth="1"/>
    <col min="14623" max="14623" width="5.625" style="175" customWidth="1"/>
    <col min="14624" max="14631" width="1.75" style="175" customWidth="1"/>
    <col min="14632" max="14847" width="5.625" style="175"/>
    <col min="14848" max="14852" width="5.625" style="175" customWidth="1"/>
    <col min="14853" max="14860" width="1.75" style="175" customWidth="1"/>
    <col min="14861" max="14861" width="5.625" style="175" customWidth="1"/>
    <col min="14862" max="14869" width="1.75" style="175" customWidth="1"/>
    <col min="14870" max="14870" width="5.625" style="175" customWidth="1"/>
    <col min="14871" max="14878" width="1.75" style="175" customWidth="1"/>
    <col min="14879" max="14879" width="5.625" style="175" customWidth="1"/>
    <col min="14880" max="14887" width="1.75" style="175" customWidth="1"/>
    <col min="14888" max="15103" width="5.625" style="175"/>
    <col min="15104" max="15108" width="5.625" style="175" customWidth="1"/>
    <col min="15109" max="15116" width="1.75" style="175" customWidth="1"/>
    <col min="15117" max="15117" width="5.625" style="175" customWidth="1"/>
    <col min="15118" max="15125" width="1.75" style="175" customWidth="1"/>
    <col min="15126" max="15126" width="5.625" style="175" customWidth="1"/>
    <col min="15127" max="15134" width="1.75" style="175" customWidth="1"/>
    <col min="15135" max="15135" width="5.625" style="175" customWidth="1"/>
    <col min="15136" max="15143" width="1.75" style="175" customWidth="1"/>
    <col min="15144" max="15359" width="5.625" style="175"/>
    <col min="15360" max="15364" width="5.625" style="175" customWidth="1"/>
    <col min="15365" max="15372" width="1.75" style="175" customWidth="1"/>
    <col min="15373" max="15373" width="5.625" style="175" customWidth="1"/>
    <col min="15374" max="15381" width="1.75" style="175" customWidth="1"/>
    <col min="15382" max="15382" width="5.625" style="175" customWidth="1"/>
    <col min="15383" max="15390" width="1.75" style="175" customWidth="1"/>
    <col min="15391" max="15391" width="5.625" style="175" customWidth="1"/>
    <col min="15392" max="15399" width="1.75" style="175" customWidth="1"/>
    <col min="15400" max="15615" width="5.625" style="175"/>
    <col min="15616" max="15620" width="5.625" style="175" customWidth="1"/>
    <col min="15621" max="15628" width="1.75" style="175" customWidth="1"/>
    <col min="15629" max="15629" width="5.625" style="175" customWidth="1"/>
    <col min="15630" max="15637" width="1.75" style="175" customWidth="1"/>
    <col min="15638" max="15638" width="5.625" style="175" customWidth="1"/>
    <col min="15639" max="15646" width="1.75" style="175" customWidth="1"/>
    <col min="15647" max="15647" width="5.625" style="175" customWidth="1"/>
    <col min="15648" max="15655" width="1.75" style="175" customWidth="1"/>
    <col min="15656" max="15871" width="5.625" style="175"/>
    <col min="15872" max="15876" width="5.625" style="175" customWidth="1"/>
    <col min="15877" max="15884" width="1.75" style="175" customWidth="1"/>
    <col min="15885" max="15885" width="5.625" style="175" customWidth="1"/>
    <col min="15886" max="15893" width="1.75" style="175" customWidth="1"/>
    <col min="15894" max="15894" width="5.625" style="175" customWidth="1"/>
    <col min="15895" max="15902" width="1.75" style="175" customWidth="1"/>
    <col min="15903" max="15903" width="5.625" style="175" customWidth="1"/>
    <col min="15904" max="15911" width="1.75" style="175" customWidth="1"/>
    <col min="15912" max="16127" width="5.625" style="175"/>
    <col min="16128" max="16132" width="5.625" style="175" customWidth="1"/>
    <col min="16133" max="16140" width="1.75" style="175" customWidth="1"/>
    <col min="16141" max="16141" width="5.625" style="175" customWidth="1"/>
    <col min="16142" max="16149" width="1.75" style="175" customWidth="1"/>
    <col min="16150" max="16150" width="5.625" style="175" customWidth="1"/>
    <col min="16151" max="16158" width="1.75" style="175" customWidth="1"/>
    <col min="16159" max="16159" width="5.625" style="175" customWidth="1"/>
    <col min="16160" max="16167" width="1.75" style="175" customWidth="1"/>
    <col min="16168" max="16384" width="5.625" style="175"/>
  </cols>
  <sheetData>
    <row r="1" spans="1:41" ht="12.95" customHeight="1">
      <c r="A1" s="298" t="s">
        <v>476</v>
      </c>
    </row>
    <row r="2" spans="1:41" ht="12.95" customHeight="1">
      <c r="B2" s="733" t="s">
        <v>427</v>
      </c>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262"/>
    </row>
    <row r="3" spans="1:41" ht="12.95" customHeight="1">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262"/>
    </row>
    <row r="5" spans="1:41" ht="12.95" customHeight="1">
      <c r="G5" s="183" t="s">
        <v>364</v>
      </c>
      <c r="P5" s="183" t="s">
        <v>365</v>
      </c>
      <c r="AJ5" s="276"/>
      <c r="AK5" s="276"/>
      <c r="AL5" s="276"/>
      <c r="AM5" s="276"/>
    </row>
    <row r="6" spans="1:41" ht="12.95" customHeight="1">
      <c r="AJ6" s="276"/>
      <c r="AK6" s="276"/>
      <c r="AL6" s="276"/>
      <c r="AM6" s="276"/>
    </row>
    <row r="7" spans="1:41" ht="12.95" customHeight="1">
      <c r="J7" s="223"/>
      <c r="S7" s="223"/>
    </row>
    <row r="8" spans="1:41" ht="12.95" customHeight="1">
      <c r="F8" s="176"/>
      <c r="G8" s="177" t="s">
        <v>415</v>
      </c>
      <c r="H8" s="178"/>
      <c r="I8" s="219"/>
      <c r="J8" s="224"/>
      <c r="K8" s="179"/>
      <c r="M8" s="180"/>
      <c r="N8" s="180"/>
      <c r="O8" s="180"/>
      <c r="P8" s="180"/>
      <c r="Q8" s="181"/>
      <c r="R8" s="181"/>
      <c r="S8" s="228"/>
      <c r="T8" s="181"/>
      <c r="U8" s="180"/>
      <c r="V8" s="182" t="s">
        <v>368</v>
      </c>
      <c r="AG8" s="182"/>
    </row>
    <row r="9" spans="1:41" ht="12.95" customHeight="1">
      <c r="I9" s="220"/>
      <c r="J9" s="225"/>
      <c r="L9" s="183"/>
      <c r="O9" s="176"/>
      <c r="P9" s="177" t="s">
        <v>416</v>
      </c>
      <c r="Q9" s="178"/>
      <c r="R9" s="219"/>
      <c r="S9" s="224"/>
      <c r="T9" s="179"/>
      <c r="U9" s="183"/>
    </row>
    <row r="10" spans="1:41" ht="12.95" customHeight="1">
      <c r="I10" s="220"/>
      <c r="J10" s="225"/>
      <c r="R10" s="220"/>
      <c r="S10" s="225"/>
      <c r="AD10" s="182"/>
    </row>
    <row r="11" spans="1:41" ht="12.95" customHeight="1">
      <c r="D11" s="176"/>
      <c r="E11" s="184" t="s">
        <v>369</v>
      </c>
      <c r="F11" s="185"/>
      <c r="G11" s="185"/>
      <c r="H11" s="185"/>
      <c r="I11" s="220"/>
      <c r="J11" s="225"/>
      <c r="M11" s="176"/>
      <c r="N11" s="184" t="s">
        <v>369</v>
      </c>
      <c r="O11" s="185"/>
      <c r="P11" s="185"/>
      <c r="Q11" s="185"/>
      <c r="R11" s="220"/>
      <c r="S11" s="225"/>
      <c r="AF11" s="186"/>
    </row>
    <row r="12" spans="1:41" ht="12.95" customHeight="1">
      <c r="E12" s="730" t="s">
        <v>370</v>
      </c>
      <c r="F12" s="730"/>
      <c r="G12" s="730"/>
      <c r="H12" s="734"/>
      <c r="I12" s="221"/>
      <c r="J12" s="226"/>
      <c r="K12" s="187"/>
      <c r="L12" s="187"/>
      <c r="M12" s="187"/>
      <c r="N12" s="730" t="s">
        <v>370</v>
      </c>
      <c r="O12" s="730"/>
      <c r="P12" s="730"/>
      <c r="Q12" s="734"/>
      <c r="R12" s="220"/>
      <c r="S12" s="225"/>
      <c r="AF12" s="188"/>
      <c r="AH12" s="188"/>
      <c r="AI12" s="188"/>
    </row>
    <row r="13" spans="1:41" ht="12.95" customHeight="1">
      <c r="E13" s="266">
        <v>6.49</v>
      </c>
      <c r="F13" s="265" t="s">
        <v>286</v>
      </c>
      <c r="G13" s="263"/>
      <c r="H13" s="263"/>
      <c r="I13" s="220"/>
      <c r="J13" s="225"/>
      <c r="N13" s="274">
        <f>E13-0.4</f>
        <v>6.09</v>
      </c>
      <c r="O13" s="265" t="s">
        <v>286</v>
      </c>
      <c r="P13" s="263"/>
      <c r="Q13" s="263"/>
      <c r="R13" s="220"/>
      <c r="S13" s="225"/>
      <c r="W13" s="190"/>
      <c r="AF13" s="191"/>
      <c r="AH13" s="189"/>
      <c r="AI13" s="189"/>
    </row>
    <row r="14" spans="1:41" ht="12.95" customHeight="1">
      <c r="E14" s="267"/>
      <c r="F14" s="183"/>
      <c r="G14" s="183"/>
      <c r="H14" s="183"/>
      <c r="I14" s="220"/>
      <c r="J14" s="225"/>
      <c r="N14" s="267">
        <f>IF(E14=0,0,E14-0.4)</f>
        <v>0</v>
      </c>
      <c r="O14" s="183"/>
      <c r="P14" s="183"/>
      <c r="Q14" s="183"/>
      <c r="R14" s="220"/>
      <c r="S14" s="225"/>
    </row>
    <row r="15" spans="1:41" ht="12.95" customHeight="1">
      <c r="I15" s="220"/>
      <c r="J15" s="226"/>
      <c r="K15" s="187"/>
      <c r="L15" s="187"/>
      <c r="M15" s="187"/>
      <c r="R15" s="220"/>
      <c r="S15" s="225"/>
    </row>
    <row r="16" spans="1:41" ht="12.95" customHeight="1">
      <c r="E16" s="184" t="s">
        <v>371</v>
      </c>
      <c r="F16" s="185"/>
      <c r="G16" s="185"/>
      <c r="H16" s="185"/>
      <c r="I16" s="221"/>
      <c r="J16" s="226"/>
      <c r="K16" s="187"/>
      <c r="L16" s="187"/>
      <c r="M16" s="187"/>
      <c r="N16" s="184" t="s">
        <v>371</v>
      </c>
      <c r="O16" s="185"/>
      <c r="P16" s="185"/>
      <c r="Q16" s="185"/>
      <c r="R16" s="221"/>
      <c r="S16" s="226"/>
    </row>
    <row r="17" spans="2:38" ht="12.95" customHeight="1">
      <c r="E17" s="730" t="s">
        <v>372</v>
      </c>
      <c r="F17" s="731"/>
      <c r="G17" s="731"/>
      <c r="H17" s="732"/>
      <c r="I17" s="220"/>
      <c r="J17" s="225"/>
      <c r="N17" s="730" t="s">
        <v>373</v>
      </c>
      <c r="O17" s="731"/>
      <c r="P17" s="731"/>
      <c r="Q17" s="732"/>
      <c r="R17" s="220"/>
      <c r="S17" s="225"/>
    </row>
    <row r="18" spans="2:38" ht="12.95" customHeight="1">
      <c r="E18" s="268">
        <f>E13</f>
        <v>6.49</v>
      </c>
      <c r="F18" s="265" t="s">
        <v>286</v>
      </c>
      <c r="G18" s="183"/>
      <c r="H18" s="183"/>
      <c r="I18" s="220"/>
      <c r="J18" s="225"/>
      <c r="N18" s="275">
        <f>N13</f>
        <v>6.09</v>
      </c>
      <c r="O18" s="265" t="s">
        <v>286</v>
      </c>
      <c r="P18" s="183"/>
      <c r="Q18" s="183"/>
      <c r="R18" s="220"/>
      <c r="S18" s="225"/>
    </row>
    <row r="19" spans="2:38" ht="12.95" customHeight="1">
      <c r="E19" s="267">
        <f>E14</f>
        <v>0</v>
      </c>
      <c r="F19" s="183"/>
      <c r="G19" s="183"/>
      <c r="H19" s="183"/>
      <c r="I19" s="220"/>
      <c r="J19" s="225"/>
      <c r="N19" s="267">
        <f>N14</f>
        <v>0</v>
      </c>
      <c r="O19" s="183"/>
      <c r="P19" s="183"/>
      <c r="Q19" s="183"/>
      <c r="R19" s="220"/>
      <c r="S19" s="225"/>
    </row>
    <row r="20" spans="2:38" ht="12.95" customHeight="1">
      <c r="I20" s="220"/>
      <c r="J20" s="227"/>
      <c r="R20" s="222"/>
      <c r="S20" s="227"/>
      <c r="AL20" s="183"/>
    </row>
    <row r="21" spans="2:38" ht="12.95" customHeight="1">
      <c r="F21" s="735" t="s">
        <v>374</v>
      </c>
      <c r="G21" s="736"/>
      <c r="H21" s="736"/>
      <c r="I21" s="736"/>
      <c r="J21" s="736"/>
      <c r="K21" s="736"/>
      <c r="L21" s="736"/>
      <c r="M21" s="737"/>
      <c r="N21" s="192"/>
      <c r="O21" s="735" t="s">
        <v>374</v>
      </c>
      <c r="P21" s="736"/>
      <c r="Q21" s="736"/>
      <c r="R21" s="736"/>
      <c r="S21" s="736"/>
      <c r="T21" s="736"/>
      <c r="U21" s="736"/>
      <c r="V21" s="737"/>
    </row>
    <row r="22" spans="2:38" ht="12.95" customHeight="1">
      <c r="F22" s="738" t="s">
        <v>375</v>
      </c>
      <c r="G22" s="739"/>
      <c r="H22" s="739"/>
      <c r="I22" s="739"/>
      <c r="J22" s="739"/>
      <c r="K22" s="739"/>
      <c r="L22" s="739"/>
      <c r="M22" s="739"/>
      <c r="N22" s="739"/>
      <c r="O22" s="739"/>
      <c r="P22" s="739"/>
      <c r="Q22" s="739"/>
      <c r="R22" s="739"/>
      <c r="S22" s="739"/>
      <c r="T22" s="739"/>
      <c r="U22" s="739"/>
      <c r="V22" s="740"/>
      <c r="X22" s="183" t="s">
        <v>369</v>
      </c>
    </row>
    <row r="23" spans="2:38" ht="12.95" customHeight="1">
      <c r="F23" s="741" t="s">
        <v>376</v>
      </c>
      <c r="G23" s="742"/>
      <c r="H23" s="742"/>
      <c r="I23" s="742"/>
      <c r="J23" s="742"/>
      <c r="K23" s="742"/>
      <c r="L23" s="742"/>
      <c r="M23" s="743"/>
      <c r="N23" s="193"/>
      <c r="O23" s="741" t="s">
        <v>376</v>
      </c>
      <c r="P23" s="742"/>
      <c r="Q23" s="742"/>
      <c r="R23" s="742"/>
      <c r="S23" s="742"/>
      <c r="T23" s="742"/>
      <c r="U23" s="742"/>
      <c r="V23" s="743"/>
      <c r="X23" s="183" t="s">
        <v>377</v>
      </c>
    </row>
    <row r="24" spans="2:38" ht="12.95" customHeight="1">
      <c r="I24" s="220"/>
      <c r="J24" s="231"/>
      <c r="R24" s="220"/>
      <c r="S24" s="231"/>
      <c r="X24" s="183" t="s">
        <v>378</v>
      </c>
    </row>
    <row r="25" spans="2:38" ht="12.95" customHeight="1">
      <c r="E25" s="184" t="s">
        <v>369</v>
      </c>
      <c r="F25" s="185"/>
      <c r="G25" s="185"/>
      <c r="H25" s="185"/>
      <c r="I25" s="220"/>
      <c r="J25" s="232"/>
      <c r="N25" s="184" t="s">
        <v>369</v>
      </c>
      <c r="O25" s="185"/>
      <c r="P25" s="185"/>
      <c r="Q25" s="185"/>
      <c r="R25" s="220"/>
      <c r="S25" s="232"/>
      <c r="W25" s="186"/>
      <c r="X25" s="175" t="s">
        <v>379</v>
      </c>
    </row>
    <row r="26" spans="2:38" ht="12.95" customHeight="1">
      <c r="E26" s="730" t="str">
        <f>E12</f>
        <v>VE22</v>
      </c>
      <c r="F26" s="730"/>
      <c r="G26" s="730"/>
      <c r="H26" s="734"/>
      <c r="I26" s="221"/>
      <c r="J26" s="233"/>
      <c r="K26" s="187"/>
      <c r="L26" s="187"/>
      <c r="M26" s="187"/>
      <c r="N26" s="730" t="str">
        <f>N12</f>
        <v>VE22</v>
      </c>
      <c r="O26" s="730"/>
      <c r="P26" s="730"/>
      <c r="Q26" s="734"/>
      <c r="R26" s="220"/>
      <c r="S26" s="232"/>
      <c r="W26" s="194"/>
      <c r="X26" s="183" t="s">
        <v>417</v>
      </c>
      <c r="Y26" s="194"/>
      <c r="Z26" s="194"/>
      <c r="AG26" s="194"/>
      <c r="AH26" s="194"/>
      <c r="AI26" s="194"/>
    </row>
    <row r="27" spans="2:38" ht="12.95" customHeight="1">
      <c r="E27" s="269">
        <v>3.04</v>
      </c>
      <c r="F27" s="265" t="s">
        <v>286</v>
      </c>
      <c r="G27" s="263"/>
      <c r="H27" s="263"/>
      <c r="I27" s="220"/>
      <c r="J27" s="232"/>
      <c r="N27" s="272">
        <f>E27</f>
        <v>3.04</v>
      </c>
      <c r="O27" s="265" t="s">
        <v>286</v>
      </c>
      <c r="P27" s="263"/>
      <c r="Q27" s="263"/>
      <c r="R27" s="220"/>
      <c r="S27" s="232"/>
      <c r="W27" s="195"/>
      <c r="X27" s="183" t="s">
        <v>380</v>
      </c>
      <c r="AG27" s="187"/>
      <c r="AH27" s="187"/>
      <c r="AI27" s="187"/>
    </row>
    <row r="28" spans="2:38" ht="12.95" customHeight="1">
      <c r="E28" s="270"/>
      <c r="I28" s="220"/>
      <c r="J28" s="232"/>
      <c r="N28" s="270">
        <f>IF(E28=0,0,E28)</f>
        <v>0</v>
      </c>
      <c r="O28" s="183"/>
      <c r="P28" s="183"/>
      <c r="Q28" s="183"/>
      <c r="R28" s="220"/>
      <c r="S28" s="232"/>
      <c r="W28" s="196"/>
      <c r="X28" s="183" t="s">
        <v>381</v>
      </c>
      <c r="AG28" s="187"/>
      <c r="AH28" s="187"/>
      <c r="AI28" s="187"/>
    </row>
    <row r="29" spans="2:38" ht="12.95" customHeight="1">
      <c r="I29" s="220"/>
      <c r="J29" s="232"/>
      <c r="R29" s="220"/>
      <c r="S29" s="232"/>
      <c r="X29" s="183" t="s">
        <v>382</v>
      </c>
      <c r="AG29" s="187"/>
      <c r="AH29" s="187"/>
      <c r="AI29" s="187"/>
    </row>
    <row r="30" spans="2:38" ht="12.95" customHeight="1">
      <c r="E30" s="184" t="s">
        <v>371</v>
      </c>
      <c r="F30" s="185"/>
      <c r="G30" s="185"/>
      <c r="H30" s="185"/>
      <c r="I30" s="229"/>
      <c r="J30" s="233"/>
      <c r="K30" s="187"/>
      <c r="L30" s="187"/>
      <c r="M30" s="187"/>
      <c r="N30" s="184" t="s">
        <v>371</v>
      </c>
      <c r="O30" s="185"/>
      <c r="P30" s="185"/>
      <c r="Q30" s="185"/>
      <c r="R30" s="230"/>
      <c r="S30" s="232"/>
      <c r="W30" s="186"/>
      <c r="X30" s="183" t="s">
        <v>383</v>
      </c>
      <c r="AG30" s="194"/>
      <c r="AH30" s="194"/>
      <c r="AI30" s="194"/>
    </row>
    <row r="31" spans="2:38" ht="12.95" customHeight="1">
      <c r="E31" s="730" t="str">
        <f>E17</f>
        <v>SV5.5-3C</v>
      </c>
      <c r="F31" s="731"/>
      <c r="G31" s="731"/>
      <c r="H31" s="732"/>
      <c r="I31" s="220"/>
      <c r="J31" s="232"/>
      <c r="N31" s="730" t="str">
        <f>N17</f>
        <v>SV5.5-2C</v>
      </c>
      <c r="O31" s="731"/>
      <c r="P31" s="731"/>
      <c r="Q31" s="732"/>
      <c r="R31" s="220"/>
      <c r="S31" s="232"/>
      <c r="W31" s="194"/>
      <c r="X31" s="183" t="s">
        <v>384</v>
      </c>
      <c r="Y31" s="194"/>
      <c r="Z31" s="194"/>
      <c r="AG31" s="187"/>
      <c r="AH31" s="187"/>
      <c r="AI31" s="187"/>
    </row>
    <row r="32" spans="2:38" ht="12.95" customHeight="1">
      <c r="B32" s="197"/>
      <c r="C32" s="197"/>
      <c r="D32" s="197"/>
      <c r="E32" s="271">
        <f>E27</f>
        <v>3.04</v>
      </c>
      <c r="F32" s="265" t="s">
        <v>286</v>
      </c>
      <c r="G32" s="183"/>
      <c r="H32" s="183"/>
      <c r="I32" s="220"/>
      <c r="J32" s="232"/>
      <c r="N32" s="273">
        <f>N27</f>
        <v>3.04</v>
      </c>
      <c r="O32" s="265" t="s">
        <v>286</v>
      </c>
      <c r="P32" s="183"/>
      <c r="Q32" s="183"/>
      <c r="R32" s="220"/>
      <c r="S32" s="232"/>
      <c r="W32" s="198"/>
      <c r="X32" s="183" t="s">
        <v>385</v>
      </c>
      <c r="AG32" s="187"/>
      <c r="AH32" s="187"/>
      <c r="AI32" s="187"/>
    </row>
    <row r="33" spans="2:40" ht="12.95" customHeight="1">
      <c r="B33" s="197"/>
      <c r="C33" s="197"/>
      <c r="D33" s="197"/>
      <c r="E33" s="270">
        <f>E28</f>
        <v>0</v>
      </c>
      <c r="F33" s="183"/>
      <c r="G33" s="183"/>
      <c r="H33" s="183"/>
      <c r="I33" s="220"/>
      <c r="J33" s="232"/>
      <c r="N33" s="270">
        <f>N28</f>
        <v>0</v>
      </c>
      <c r="O33" s="183"/>
      <c r="P33" s="183"/>
      <c r="Q33" s="183"/>
      <c r="R33" s="220"/>
      <c r="S33" s="232"/>
      <c r="W33" s="196"/>
      <c r="AG33" s="187"/>
      <c r="AH33" s="187"/>
      <c r="AI33" s="187"/>
    </row>
    <row r="34" spans="2:40" ht="12.95" customHeight="1">
      <c r="E34" s="199"/>
      <c r="I34" s="220"/>
      <c r="J34" s="232"/>
      <c r="R34" s="220"/>
      <c r="S34" s="232"/>
    </row>
    <row r="35" spans="2:40" ht="22.5" customHeight="1">
      <c r="E35" s="746" t="s">
        <v>424</v>
      </c>
      <c r="F35" s="747"/>
      <c r="G35" s="747"/>
      <c r="H35" s="747"/>
      <c r="I35" s="747"/>
      <c r="J35" s="747"/>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7"/>
      <c r="AJ35" s="747"/>
      <c r="AK35" s="747"/>
      <c r="AL35" s="747"/>
      <c r="AM35" s="748"/>
    </row>
    <row r="36" spans="2:40" ht="12.95" customHeight="1">
      <c r="B36" s="749" t="s">
        <v>430</v>
      </c>
      <c r="C36" s="749"/>
      <c r="D36" s="750"/>
      <c r="E36" s="239"/>
      <c r="F36" s="240"/>
      <c r="G36" s="240"/>
      <c r="H36" s="251"/>
      <c r="I36" s="251" t="s">
        <v>253</v>
      </c>
      <c r="J36" s="240"/>
      <c r="K36" s="251"/>
      <c r="L36" s="240"/>
      <c r="M36" s="240"/>
      <c r="N36" s="240"/>
      <c r="O36" s="240"/>
      <c r="P36" s="240"/>
      <c r="Q36" s="251"/>
      <c r="R36" s="251" t="s">
        <v>253</v>
      </c>
      <c r="S36" s="240"/>
      <c r="T36" s="251"/>
      <c r="U36" s="240"/>
      <c r="V36" s="240"/>
      <c r="W36" s="240"/>
      <c r="X36" s="240"/>
      <c r="Y36" s="240"/>
      <c r="Z36" s="251"/>
      <c r="AA36" s="251" t="s">
        <v>253</v>
      </c>
      <c r="AB36" s="240"/>
      <c r="AC36" s="251"/>
      <c r="AD36" s="240"/>
      <c r="AE36" s="240"/>
      <c r="AF36" s="240"/>
      <c r="AG36" s="240"/>
      <c r="AH36" s="240"/>
      <c r="AI36" s="240"/>
      <c r="AJ36" s="240"/>
      <c r="AK36" s="240"/>
      <c r="AL36" s="240"/>
      <c r="AM36" s="241"/>
    </row>
    <row r="37" spans="2:40" ht="6" customHeight="1" thickBot="1">
      <c r="B37" s="751"/>
      <c r="C37" s="751"/>
      <c r="D37" s="752"/>
      <c r="E37" s="278"/>
      <c r="F37" s="279"/>
      <c r="G37" s="279"/>
      <c r="H37" s="280"/>
      <c r="I37" s="281"/>
      <c r="J37" s="281"/>
      <c r="K37" s="282"/>
      <c r="L37" s="279"/>
      <c r="M37" s="279"/>
      <c r="N37" s="279"/>
      <c r="O37" s="279"/>
      <c r="P37" s="279"/>
      <c r="Q37" s="280"/>
      <c r="R37" s="281"/>
      <c r="S37" s="281"/>
      <c r="T37" s="282"/>
      <c r="U37" s="279"/>
      <c r="V37" s="279"/>
      <c r="W37" s="279"/>
      <c r="X37" s="279"/>
      <c r="Y37" s="279"/>
      <c r="Z37" s="280"/>
      <c r="AA37" s="281"/>
      <c r="AB37" s="281"/>
      <c r="AC37" s="282"/>
      <c r="AD37" s="279"/>
      <c r="AE37" s="279"/>
      <c r="AF37" s="279"/>
      <c r="AG37" s="279"/>
      <c r="AH37" s="279"/>
      <c r="AI37" s="279"/>
      <c r="AJ37" s="279"/>
      <c r="AK37" s="279"/>
      <c r="AL37" s="279"/>
      <c r="AM37" s="283"/>
      <c r="AN37" s="200"/>
    </row>
    <row r="38" spans="2:40" ht="12.95" customHeight="1">
      <c r="E38" s="284"/>
      <c r="F38" s="284"/>
      <c r="G38" s="284"/>
      <c r="H38" s="284"/>
      <c r="I38" s="285"/>
      <c r="J38" s="286"/>
      <c r="K38" s="284"/>
      <c r="L38" s="284"/>
      <c r="M38" s="284"/>
      <c r="N38" s="284"/>
      <c r="O38" s="284"/>
      <c r="P38" s="284"/>
      <c r="Q38" s="284"/>
      <c r="R38" s="285"/>
      <c r="S38" s="286"/>
      <c r="T38" s="284"/>
      <c r="U38" s="284"/>
      <c r="V38" s="284"/>
      <c r="W38" s="284"/>
      <c r="X38" s="284"/>
      <c r="Y38" s="284"/>
      <c r="Z38" s="284"/>
      <c r="AA38" s="285"/>
      <c r="AB38" s="286"/>
      <c r="AC38" s="284"/>
      <c r="AD38" s="284"/>
      <c r="AE38" s="284"/>
      <c r="AF38" s="284"/>
      <c r="AG38" s="284"/>
      <c r="AH38" s="284"/>
      <c r="AI38" s="284"/>
      <c r="AJ38" s="285"/>
      <c r="AK38" s="286"/>
      <c r="AL38" s="284"/>
      <c r="AM38" s="284"/>
      <c r="AN38" s="284"/>
    </row>
    <row r="39" spans="2:40" ht="12.95" customHeight="1">
      <c r="I39" s="220"/>
      <c r="J39" s="232"/>
      <c r="R39" s="220"/>
      <c r="S39" s="232"/>
      <c r="AA39" s="220"/>
      <c r="AB39" s="232"/>
      <c r="AJ39" s="220"/>
      <c r="AK39" s="232"/>
    </row>
    <row r="40" spans="2:40" ht="12.95" customHeight="1">
      <c r="E40" s="184" t="s">
        <v>369</v>
      </c>
      <c r="F40" s="185"/>
      <c r="G40" s="185"/>
      <c r="H40" s="185"/>
      <c r="I40" s="220"/>
      <c r="J40" s="232"/>
      <c r="N40" s="184" t="s">
        <v>369</v>
      </c>
      <c r="O40" s="185"/>
      <c r="P40" s="185"/>
      <c r="Q40" s="185"/>
      <c r="R40" s="220"/>
      <c r="S40" s="232"/>
      <c r="W40" s="184" t="s">
        <v>369</v>
      </c>
      <c r="X40" s="185"/>
      <c r="Y40" s="185"/>
      <c r="Z40" s="185"/>
      <c r="AA40" s="220"/>
      <c r="AB40" s="232"/>
      <c r="AF40" s="184" t="s">
        <v>369</v>
      </c>
      <c r="AG40" s="185"/>
      <c r="AH40" s="185"/>
      <c r="AI40" s="185"/>
      <c r="AJ40" s="220"/>
      <c r="AK40" s="232"/>
    </row>
    <row r="41" spans="2:40" ht="12.95" customHeight="1">
      <c r="B41" s="749" t="s">
        <v>428</v>
      </c>
      <c r="C41" s="749"/>
      <c r="D41" s="749"/>
      <c r="E41" s="730" t="s">
        <v>386</v>
      </c>
      <c r="F41" s="730"/>
      <c r="G41" s="730"/>
      <c r="H41" s="734"/>
      <c r="I41" s="221"/>
      <c r="J41" s="233"/>
      <c r="K41" s="187"/>
      <c r="L41" s="187"/>
      <c r="M41" s="187"/>
      <c r="N41" s="730" t="str">
        <f>E41</f>
        <v>FEP50</v>
      </c>
      <c r="O41" s="730"/>
      <c r="P41" s="730"/>
      <c r="Q41" s="734"/>
      <c r="R41" s="221"/>
      <c r="S41" s="233"/>
      <c r="T41" s="187"/>
      <c r="U41" s="187"/>
      <c r="V41" s="187"/>
      <c r="W41" s="730" t="s">
        <v>386</v>
      </c>
      <c r="X41" s="730"/>
      <c r="Y41" s="730"/>
      <c r="Z41" s="734"/>
      <c r="AA41" s="220"/>
      <c r="AB41" s="232"/>
      <c r="AF41" s="730" t="s">
        <v>933</v>
      </c>
      <c r="AG41" s="730"/>
      <c r="AH41" s="730"/>
      <c r="AI41" s="734"/>
      <c r="AJ41" s="221"/>
      <c r="AK41" s="233"/>
      <c r="AL41" s="187"/>
      <c r="AM41" s="187"/>
    </row>
    <row r="42" spans="2:40" ht="12.95" customHeight="1">
      <c r="B42" s="749"/>
      <c r="C42" s="749"/>
      <c r="D42" s="749"/>
      <c r="E42" s="268">
        <v>1</v>
      </c>
      <c r="F42" s="265" t="s">
        <v>286</v>
      </c>
      <c r="G42" s="263"/>
      <c r="H42" s="263"/>
      <c r="I42" s="220"/>
      <c r="J42" s="232"/>
      <c r="N42" s="275">
        <f>E42</f>
        <v>1</v>
      </c>
      <c r="O42" s="265" t="s">
        <v>286</v>
      </c>
      <c r="P42" s="183"/>
      <c r="Q42" s="183"/>
      <c r="R42" s="220"/>
      <c r="S42" s="232"/>
      <c r="W42" s="275">
        <f>E42</f>
        <v>1</v>
      </c>
      <c r="X42" s="265" t="s">
        <v>286</v>
      </c>
      <c r="Y42" s="183"/>
      <c r="Z42" s="183"/>
      <c r="AA42" s="220"/>
      <c r="AB42" s="232"/>
      <c r="AF42" s="275">
        <f>E42</f>
        <v>1</v>
      </c>
      <c r="AG42" s="265" t="s">
        <v>286</v>
      </c>
      <c r="AH42" s="264"/>
      <c r="AI42" s="264"/>
      <c r="AJ42" s="221"/>
      <c r="AK42" s="233"/>
      <c r="AL42" s="187"/>
      <c r="AM42" s="187"/>
    </row>
    <row r="43" spans="2:40" ht="12.95" customHeight="1">
      <c r="C43" s="276"/>
      <c r="D43" s="276"/>
      <c r="E43" s="267"/>
      <c r="I43" s="220"/>
      <c r="J43" s="232"/>
      <c r="N43" s="267">
        <f>E43</f>
        <v>0</v>
      </c>
      <c r="O43" s="183"/>
      <c r="P43" s="183"/>
      <c r="Q43" s="183"/>
      <c r="R43" s="220"/>
      <c r="S43" s="232"/>
      <c r="W43" s="267">
        <f>E43</f>
        <v>0</v>
      </c>
      <c r="X43" s="183"/>
      <c r="Y43" s="183"/>
      <c r="Z43" s="183"/>
      <c r="AA43" s="220"/>
      <c r="AB43" s="232"/>
      <c r="AF43" s="267"/>
      <c r="AG43" s="183"/>
      <c r="AH43" s="183"/>
      <c r="AI43" s="183"/>
      <c r="AJ43" s="220"/>
      <c r="AK43" s="232"/>
    </row>
    <row r="44" spans="2:40" ht="12.95" customHeight="1" thickBot="1">
      <c r="B44" s="784"/>
      <c r="C44" s="784"/>
      <c r="D44" s="784"/>
      <c r="E44" s="200"/>
      <c r="F44" s="200"/>
      <c r="G44" s="200"/>
      <c r="H44" s="200"/>
      <c r="I44" s="234"/>
      <c r="J44" s="235"/>
      <c r="K44" s="200"/>
      <c r="L44" s="200"/>
      <c r="M44" s="200"/>
      <c r="N44" s="200"/>
      <c r="O44" s="200"/>
      <c r="P44" s="200"/>
      <c r="Q44" s="200"/>
      <c r="R44" s="234"/>
      <c r="S44" s="235"/>
      <c r="T44" s="200"/>
      <c r="U44" s="200"/>
      <c r="V44" s="200"/>
      <c r="W44" s="200"/>
      <c r="X44" s="200"/>
      <c r="Y44" s="200"/>
      <c r="Z44" s="200"/>
      <c r="AA44" s="234"/>
      <c r="AB44" s="235"/>
      <c r="AC44" s="200"/>
      <c r="AD44" s="200"/>
      <c r="AE44" s="200"/>
      <c r="AF44" s="201"/>
      <c r="AG44" s="201"/>
      <c r="AH44" s="201"/>
      <c r="AI44" s="201"/>
      <c r="AJ44" s="254"/>
      <c r="AK44" s="256"/>
      <c r="AL44" s="201"/>
      <c r="AM44" s="201"/>
      <c r="AN44" s="201"/>
    </row>
    <row r="45" spans="2:40" ht="12.95" customHeight="1">
      <c r="B45" s="749"/>
      <c r="C45" s="749"/>
      <c r="D45" s="749"/>
      <c r="I45" s="220"/>
      <c r="J45" s="232"/>
      <c r="R45" s="220"/>
      <c r="S45" s="232"/>
      <c r="AA45" s="220"/>
      <c r="AB45" s="232"/>
      <c r="AF45" s="196"/>
      <c r="AJ45" s="220"/>
      <c r="AK45" s="232"/>
    </row>
    <row r="46" spans="2:40" ht="12.95" customHeight="1">
      <c r="E46" s="184" t="s">
        <v>369</v>
      </c>
      <c r="F46" s="185"/>
      <c r="G46" s="185"/>
      <c r="H46" s="185"/>
      <c r="I46" s="220"/>
      <c r="J46" s="232"/>
      <c r="N46" s="184" t="s">
        <v>369</v>
      </c>
      <c r="O46" s="185"/>
      <c r="P46" s="185"/>
      <c r="Q46" s="185"/>
      <c r="R46" s="220"/>
      <c r="S46" s="232"/>
      <c r="W46" s="184" t="s">
        <v>369</v>
      </c>
      <c r="X46" s="185"/>
      <c r="Y46" s="185"/>
      <c r="Z46" s="185"/>
      <c r="AA46" s="220"/>
      <c r="AB46" s="232"/>
      <c r="AF46" s="184" t="s">
        <v>369</v>
      </c>
      <c r="AG46" s="185"/>
      <c r="AH46" s="185"/>
      <c r="AI46" s="185"/>
      <c r="AJ46" s="220"/>
      <c r="AK46" s="232"/>
    </row>
    <row r="47" spans="2:40" ht="12.95" customHeight="1">
      <c r="B47" s="749" t="s">
        <v>429</v>
      </c>
      <c r="C47" s="749"/>
      <c r="D47" s="749"/>
      <c r="E47" s="730" t="str">
        <f>E41</f>
        <v>FEP50</v>
      </c>
      <c r="F47" s="730"/>
      <c r="G47" s="730"/>
      <c r="H47" s="734"/>
      <c r="I47" s="220"/>
      <c r="J47" s="232"/>
      <c r="N47" s="264" t="str">
        <f>N41</f>
        <v>FEP50</v>
      </c>
      <c r="O47" s="187"/>
      <c r="P47" s="187"/>
      <c r="Q47" s="187"/>
      <c r="R47" s="220"/>
      <c r="S47" s="232"/>
      <c r="W47" s="730" t="str">
        <f>W41</f>
        <v>FEP50</v>
      </c>
      <c r="X47" s="730"/>
      <c r="Y47" s="730"/>
      <c r="Z47" s="734"/>
      <c r="AA47" s="220"/>
      <c r="AB47" s="232"/>
      <c r="AF47" s="730" t="str">
        <f>AF41</f>
        <v>PF36</v>
      </c>
      <c r="AG47" s="730"/>
      <c r="AH47" s="730"/>
      <c r="AI47" s="734"/>
      <c r="AJ47" s="221"/>
      <c r="AK47" s="233"/>
      <c r="AL47" s="187"/>
      <c r="AM47" s="187"/>
    </row>
    <row r="48" spans="2:40" ht="12.95" customHeight="1">
      <c r="B48" s="749"/>
      <c r="C48" s="749"/>
      <c r="D48" s="749"/>
      <c r="E48" s="268">
        <v>6.15</v>
      </c>
      <c r="F48" s="265" t="s">
        <v>286</v>
      </c>
      <c r="G48" s="263"/>
      <c r="H48" s="263"/>
      <c r="I48" s="220"/>
      <c r="J48" s="232"/>
      <c r="N48" s="275">
        <f>E48</f>
        <v>6.15</v>
      </c>
      <c r="O48" s="265" t="s">
        <v>286</v>
      </c>
      <c r="P48" s="187"/>
      <c r="Q48" s="187"/>
      <c r="R48" s="220"/>
      <c r="S48" s="232"/>
      <c r="W48" s="275">
        <f>E48</f>
        <v>6.15</v>
      </c>
      <c r="X48" s="265" t="s">
        <v>286</v>
      </c>
      <c r="Y48" s="183"/>
      <c r="Z48" s="183"/>
      <c r="AA48" s="220"/>
      <c r="AB48" s="232"/>
      <c r="AF48" s="268">
        <v>1</v>
      </c>
      <c r="AG48" s="265" t="s">
        <v>286</v>
      </c>
      <c r="AH48" s="264"/>
      <c r="AI48" s="264"/>
      <c r="AJ48" s="221"/>
      <c r="AK48" s="233"/>
      <c r="AL48" s="187"/>
      <c r="AM48" s="187"/>
    </row>
    <row r="49" spans="2:39" ht="12.95" customHeight="1">
      <c r="D49" s="202"/>
      <c r="E49" s="267">
        <f>E56-E43</f>
        <v>0</v>
      </c>
      <c r="F49" s="263"/>
      <c r="G49" s="263"/>
      <c r="H49" s="263"/>
      <c r="I49" s="220"/>
      <c r="J49" s="232"/>
      <c r="N49" s="267">
        <f>E49</f>
        <v>0</v>
      </c>
      <c r="O49" s="187"/>
      <c r="P49" s="187"/>
      <c r="Q49" s="187"/>
      <c r="R49" s="220"/>
      <c r="S49" s="232"/>
      <c r="W49" s="267">
        <f>E49</f>
        <v>0</v>
      </c>
      <c r="X49" s="183"/>
      <c r="Y49" s="183"/>
      <c r="Z49" s="183"/>
      <c r="AA49" s="220"/>
      <c r="AB49" s="232"/>
      <c r="AF49" s="267"/>
      <c r="AG49" s="183"/>
      <c r="AH49" s="183"/>
      <c r="AI49" s="183"/>
      <c r="AJ49" s="220"/>
      <c r="AK49" s="232"/>
    </row>
    <row r="50" spans="2:39" ht="12.95" customHeight="1">
      <c r="D50" s="202"/>
      <c r="E50" s="196"/>
      <c r="F50" s="189"/>
      <c r="G50" s="189"/>
      <c r="H50" s="189"/>
      <c r="I50" s="220"/>
      <c r="J50" s="232"/>
      <c r="N50" s="196"/>
      <c r="O50" s="187"/>
      <c r="P50" s="187"/>
      <c r="Q50" s="187"/>
      <c r="R50" s="220"/>
      <c r="S50" s="232"/>
      <c r="W50" s="196"/>
      <c r="AA50" s="220"/>
      <c r="AB50" s="232"/>
      <c r="AJ50" s="220"/>
      <c r="AK50" s="232"/>
    </row>
    <row r="51" spans="2:39" ht="12.95" customHeight="1">
      <c r="E51" s="184" t="s">
        <v>371</v>
      </c>
      <c r="F51" s="185"/>
      <c r="G51" s="185"/>
      <c r="H51" s="185"/>
      <c r="I51" s="230"/>
      <c r="J51" s="232"/>
      <c r="N51" s="184" t="s">
        <v>371</v>
      </c>
      <c r="O51" s="185"/>
      <c r="P51" s="185"/>
      <c r="Q51" s="185"/>
      <c r="R51" s="230"/>
      <c r="S51" s="232"/>
      <c r="W51" s="184" t="s">
        <v>371</v>
      </c>
      <c r="X51" s="185"/>
      <c r="Y51" s="185"/>
      <c r="Z51" s="185"/>
      <c r="AA51" s="230"/>
      <c r="AB51" s="232"/>
      <c r="AF51" s="203" t="s">
        <v>371</v>
      </c>
      <c r="AG51" s="204"/>
      <c r="AH51" s="204"/>
      <c r="AI51" s="204"/>
      <c r="AJ51" s="229"/>
      <c r="AK51" s="233"/>
      <c r="AL51" s="187"/>
      <c r="AM51" s="187"/>
    </row>
    <row r="52" spans="2:39" ht="12.95" customHeight="1">
      <c r="D52" s="176" t="s">
        <v>389</v>
      </c>
      <c r="E52" s="730" t="s">
        <v>848</v>
      </c>
      <c r="F52" s="730"/>
      <c r="G52" s="730"/>
      <c r="H52" s="734"/>
      <c r="I52" s="220"/>
      <c r="J52" s="233"/>
      <c r="K52" s="187"/>
      <c r="L52" s="187"/>
      <c r="M52" s="187"/>
      <c r="N52" s="765" t="str">
        <f>E52</f>
        <v>VCT2.00-4C</v>
      </c>
      <c r="O52" s="765"/>
      <c r="P52" s="765"/>
      <c r="Q52" s="766"/>
      <c r="R52" s="220"/>
      <c r="S52" s="233"/>
      <c r="T52" s="187"/>
      <c r="U52" s="187"/>
      <c r="V52" s="187"/>
      <c r="W52" s="744"/>
      <c r="X52" s="744"/>
      <c r="Y52" s="744"/>
      <c r="Z52" s="745"/>
      <c r="AA52" s="220"/>
      <c r="AB52" s="232"/>
      <c r="AF52" s="730" t="s">
        <v>391</v>
      </c>
      <c r="AG52" s="730"/>
      <c r="AH52" s="730"/>
      <c r="AI52" s="734"/>
      <c r="AJ52" s="221"/>
      <c r="AK52" s="233"/>
      <c r="AL52" s="187"/>
      <c r="AM52" s="187"/>
    </row>
    <row r="53" spans="2:39" ht="12.95" customHeight="1">
      <c r="D53" s="176" t="s">
        <v>392</v>
      </c>
      <c r="E53" s="264" t="s">
        <v>393</v>
      </c>
      <c r="F53" s="264"/>
      <c r="G53" s="264"/>
      <c r="H53" s="264"/>
      <c r="I53" s="220"/>
      <c r="J53" s="232"/>
      <c r="M53" s="176"/>
      <c r="N53" s="183" t="str">
        <f t="shared" ref="N53:N60" si="0">E53</f>
        <v>CVV1.25-2C</v>
      </c>
      <c r="O53" s="263"/>
      <c r="P53" s="263"/>
      <c r="Q53" s="263"/>
      <c r="R53" s="220"/>
      <c r="S53" s="233"/>
      <c r="T53" s="187"/>
      <c r="U53" s="187"/>
      <c r="V53" s="205"/>
      <c r="W53" s="264" t="s">
        <v>394</v>
      </c>
      <c r="X53" s="263"/>
      <c r="Y53" s="263"/>
      <c r="Z53" s="263"/>
      <c r="AA53" s="220"/>
      <c r="AB53" s="232"/>
      <c r="AF53" s="268">
        <v>1.5</v>
      </c>
      <c r="AG53" s="265" t="s">
        <v>286</v>
      </c>
      <c r="AH53" s="264"/>
      <c r="AI53" s="264"/>
      <c r="AJ53" s="255"/>
      <c r="AK53" s="257"/>
      <c r="AL53" s="187"/>
      <c r="AM53" s="187"/>
    </row>
    <row r="54" spans="2:39" ht="12.95" customHeight="1">
      <c r="D54" s="176" t="s">
        <v>395</v>
      </c>
      <c r="E54" s="264" t="s">
        <v>396</v>
      </c>
      <c r="F54" s="264"/>
      <c r="G54" s="264"/>
      <c r="H54" s="264"/>
      <c r="I54" s="220"/>
      <c r="J54" s="232"/>
      <c r="M54" s="176"/>
      <c r="N54" s="183" t="str">
        <f t="shared" si="0"/>
        <v>CVV2.0-1C</v>
      </c>
      <c r="O54" s="263"/>
      <c r="P54" s="263"/>
      <c r="Q54" s="263"/>
      <c r="R54" s="220"/>
      <c r="S54" s="233"/>
      <c r="T54" s="187"/>
      <c r="U54" s="187"/>
      <c r="V54" s="205"/>
      <c r="W54" s="264" t="s">
        <v>394</v>
      </c>
      <c r="X54" s="263"/>
      <c r="Y54" s="263"/>
      <c r="Z54" s="263"/>
      <c r="AA54" s="220"/>
      <c r="AB54" s="232"/>
      <c r="AF54" s="267">
        <f>AF43+AF49</f>
        <v>0</v>
      </c>
      <c r="AG54" s="183"/>
      <c r="AH54" s="183"/>
      <c r="AI54" s="183"/>
      <c r="AJ54" s="176"/>
      <c r="AK54" s="258"/>
    </row>
    <row r="55" spans="2:39" ht="12.95" customHeight="1">
      <c r="D55" s="176" t="s">
        <v>397</v>
      </c>
      <c r="E55" s="268">
        <f>E48</f>
        <v>6.15</v>
      </c>
      <c r="F55" s="265" t="s">
        <v>286</v>
      </c>
      <c r="G55" s="183"/>
      <c r="H55" s="183"/>
      <c r="I55" s="220"/>
      <c r="J55" s="232"/>
      <c r="N55" s="268">
        <f t="shared" si="0"/>
        <v>6.15</v>
      </c>
      <c r="O55" s="265" t="s">
        <v>286</v>
      </c>
      <c r="P55" s="183"/>
      <c r="Q55" s="183"/>
      <c r="R55" s="220"/>
      <c r="S55" s="232"/>
      <c r="W55" s="268">
        <f t="shared" ref="W55:W60" si="1">E55</f>
        <v>6.15</v>
      </c>
      <c r="X55" s="265" t="s">
        <v>286</v>
      </c>
      <c r="Y55" s="183"/>
      <c r="Z55" s="183"/>
      <c r="AA55" s="220"/>
      <c r="AB55" s="232"/>
      <c r="AF55" s="196"/>
      <c r="AJ55" s="177" t="s">
        <v>432</v>
      </c>
      <c r="AK55" s="206"/>
    </row>
    <row r="56" spans="2:39" ht="12.95" customHeight="1">
      <c r="D56" s="176"/>
      <c r="E56" s="267"/>
      <c r="F56" s="183"/>
      <c r="G56" s="183"/>
      <c r="H56" s="183"/>
      <c r="I56" s="220"/>
      <c r="J56" s="232"/>
      <c r="M56" s="176"/>
      <c r="N56" s="267">
        <f t="shared" si="0"/>
        <v>0</v>
      </c>
      <c r="O56" s="183"/>
      <c r="P56" s="183"/>
      <c r="Q56" s="183"/>
      <c r="R56" s="220"/>
      <c r="S56" s="232"/>
      <c r="W56" s="267">
        <f t="shared" si="1"/>
        <v>0</v>
      </c>
      <c r="X56" s="183"/>
      <c r="Y56" s="183"/>
      <c r="Z56" s="183"/>
      <c r="AA56" s="220"/>
      <c r="AB56" s="232"/>
      <c r="AJ56" s="177" t="s">
        <v>433</v>
      </c>
      <c r="AK56" s="206"/>
    </row>
    <row r="57" spans="2:39" ht="12.95" customHeight="1">
      <c r="D57" s="176" t="s">
        <v>398</v>
      </c>
      <c r="E57" s="268">
        <v>2.9</v>
      </c>
      <c r="F57" s="265" t="s">
        <v>286</v>
      </c>
      <c r="G57" s="183"/>
      <c r="H57" s="183"/>
      <c r="I57" s="220"/>
      <c r="J57" s="232"/>
      <c r="M57" s="176"/>
      <c r="N57" s="268">
        <f t="shared" si="0"/>
        <v>2.9</v>
      </c>
      <c r="O57" s="265" t="s">
        <v>286</v>
      </c>
      <c r="P57" s="183"/>
      <c r="Q57" s="183"/>
      <c r="R57" s="220"/>
      <c r="S57" s="232"/>
      <c r="W57" s="268">
        <f t="shared" si="1"/>
        <v>2.9</v>
      </c>
      <c r="X57" s="265" t="s">
        <v>286</v>
      </c>
      <c r="Y57" s="183"/>
      <c r="Z57" s="183"/>
      <c r="AA57" s="220"/>
      <c r="AB57" s="232"/>
      <c r="AJ57" s="177" t="s">
        <v>434</v>
      </c>
      <c r="AK57" s="206"/>
    </row>
    <row r="58" spans="2:39" ht="12.95" customHeight="1">
      <c r="D58" s="176"/>
      <c r="E58" s="267"/>
      <c r="F58" s="183"/>
      <c r="G58" s="183"/>
      <c r="H58" s="183"/>
      <c r="I58" s="220"/>
      <c r="J58" s="232"/>
      <c r="M58" s="176"/>
      <c r="N58" s="267">
        <f t="shared" si="0"/>
        <v>0</v>
      </c>
      <c r="O58" s="183"/>
      <c r="P58" s="183"/>
      <c r="Q58" s="183"/>
      <c r="R58" s="220"/>
      <c r="S58" s="232"/>
      <c r="W58" s="267">
        <f t="shared" si="1"/>
        <v>0</v>
      </c>
      <c r="X58" s="183"/>
      <c r="Y58" s="183"/>
      <c r="Z58" s="183"/>
      <c r="AA58" s="220"/>
      <c r="AB58" s="232"/>
    </row>
    <row r="59" spans="2:39" ht="12.95" customHeight="1">
      <c r="D59" s="176" t="s">
        <v>399</v>
      </c>
      <c r="E59" s="268">
        <v>3</v>
      </c>
      <c r="F59" s="265" t="s">
        <v>286</v>
      </c>
      <c r="G59" s="263"/>
      <c r="H59" s="263"/>
      <c r="I59" s="220"/>
      <c r="J59" s="232"/>
      <c r="M59" s="176"/>
      <c r="N59" s="268">
        <f t="shared" si="0"/>
        <v>3</v>
      </c>
      <c r="O59" s="265" t="s">
        <v>286</v>
      </c>
      <c r="P59" s="263"/>
      <c r="Q59" s="263"/>
      <c r="R59" s="220"/>
      <c r="S59" s="232"/>
      <c r="W59" s="268">
        <f t="shared" si="1"/>
        <v>3</v>
      </c>
      <c r="X59" s="265" t="s">
        <v>286</v>
      </c>
      <c r="Y59" s="263"/>
      <c r="Z59" s="263"/>
      <c r="AA59" s="220"/>
      <c r="AB59" s="232"/>
      <c r="AD59" s="183" t="s">
        <v>400</v>
      </c>
    </row>
    <row r="60" spans="2:39" ht="12.95" customHeight="1">
      <c r="D60" s="176"/>
      <c r="E60" s="267"/>
      <c r="F60" s="183"/>
      <c r="G60" s="183"/>
      <c r="H60" s="183"/>
      <c r="I60" s="220"/>
      <c r="J60" s="232"/>
      <c r="M60" s="176"/>
      <c r="N60" s="267">
        <f t="shared" si="0"/>
        <v>0</v>
      </c>
      <c r="O60" s="183"/>
      <c r="P60" s="183"/>
      <c r="Q60" s="183"/>
      <c r="R60" s="220"/>
      <c r="S60" s="232"/>
      <c r="V60" s="176"/>
      <c r="W60" s="267">
        <f t="shared" si="1"/>
        <v>0</v>
      </c>
      <c r="X60" s="183"/>
      <c r="Y60" s="183"/>
      <c r="Z60" s="183"/>
      <c r="AA60" s="220"/>
      <c r="AB60" s="232"/>
      <c r="AD60" s="183" t="s">
        <v>401</v>
      </c>
    </row>
    <row r="61" spans="2:39" ht="12.95" customHeight="1">
      <c r="D61" s="176" t="s">
        <v>402</v>
      </c>
      <c r="E61" s="268">
        <f>E55+E57+E59</f>
        <v>12.05</v>
      </c>
      <c r="F61" s="265" t="s">
        <v>286</v>
      </c>
      <c r="G61" s="183"/>
      <c r="H61" s="183"/>
      <c r="I61" s="220"/>
      <c r="J61" s="232"/>
      <c r="M61" s="176"/>
      <c r="N61" s="268">
        <f>N55+N57+N59</f>
        <v>12.05</v>
      </c>
      <c r="O61" s="265" t="s">
        <v>286</v>
      </c>
      <c r="P61" s="183"/>
      <c r="Q61" s="183"/>
      <c r="R61" s="220"/>
      <c r="S61" s="232"/>
      <c r="V61" s="176"/>
      <c r="W61" s="268">
        <f>W55+W57+W59</f>
        <v>12.05</v>
      </c>
      <c r="X61" s="265" t="s">
        <v>286</v>
      </c>
      <c r="Y61" s="183"/>
      <c r="Z61" s="183"/>
      <c r="AA61" s="220"/>
      <c r="AB61" s="232"/>
      <c r="AD61" s="183" t="s">
        <v>408</v>
      </c>
    </row>
    <row r="62" spans="2:39" ht="12.95" customHeight="1">
      <c r="D62" s="176"/>
      <c r="E62" s="267">
        <f>E56+E58+E60</f>
        <v>0</v>
      </c>
      <c r="F62" s="183"/>
      <c r="G62" s="183"/>
      <c r="H62" s="183"/>
      <c r="I62" s="220"/>
      <c r="J62" s="232"/>
      <c r="M62" s="176"/>
      <c r="N62" s="267">
        <f>N56+N58+N60</f>
        <v>0</v>
      </c>
      <c r="O62" s="183"/>
      <c r="P62" s="183"/>
      <c r="Q62" s="183"/>
      <c r="R62" s="220"/>
      <c r="S62" s="232"/>
      <c r="V62" s="176"/>
      <c r="W62" s="267">
        <f>W56+W58+W60</f>
        <v>0</v>
      </c>
      <c r="X62" s="183"/>
      <c r="Y62" s="183"/>
      <c r="Z62" s="183"/>
      <c r="AA62" s="220"/>
      <c r="AB62" s="232"/>
      <c r="AD62" s="183" t="s">
        <v>403</v>
      </c>
    </row>
    <row r="63" spans="2:39" ht="12.95" customHeight="1">
      <c r="I63" s="220"/>
      <c r="J63" s="232"/>
      <c r="M63" s="176"/>
      <c r="R63" s="220"/>
      <c r="S63" s="232"/>
      <c r="V63" s="176"/>
      <c r="AA63" s="220"/>
      <c r="AB63" s="232"/>
      <c r="AE63" s="183"/>
    </row>
    <row r="64" spans="2:39" ht="6" customHeight="1">
      <c r="B64" s="753" t="s">
        <v>431</v>
      </c>
      <c r="C64" s="753"/>
      <c r="D64" s="754"/>
      <c r="E64" s="207"/>
      <c r="F64" s="208"/>
      <c r="G64" s="208"/>
      <c r="H64" s="247"/>
      <c r="I64" s="248"/>
      <c r="J64" s="249"/>
      <c r="K64" s="250"/>
      <c r="L64" s="208"/>
      <c r="M64" s="208"/>
      <c r="N64" s="208"/>
      <c r="O64" s="208"/>
      <c r="P64" s="208"/>
      <c r="Q64" s="247"/>
      <c r="R64" s="248"/>
      <c r="S64" s="249"/>
      <c r="T64" s="250"/>
      <c r="U64" s="208"/>
      <c r="V64" s="208"/>
      <c r="W64" s="208"/>
      <c r="X64" s="208"/>
      <c r="Y64" s="208"/>
      <c r="Z64" s="247"/>
      <c r="AA64" s="248"/>
      <c r="AB64" s="249"/>
      <c r="AC64" s="250"/>
      <c r="AD64" s="208"/>
      <c r="AE64" s="208"/>
      <c r="AF64" s="208"/>
      <c r="AG64" s="192"/>
      <c r="AH64" s="192"/>
      <c r="AI64" s="192"/>
      <c r="AJ64" s="192"/>
      <c r="AK64" s="192"/>
      <c r="AL64" s="192"/>
      <c r="AM64" s="238"/>
    </row>
    <row r="65" spans="2:39" ht="12.95" customHeight="1">
      <c r="B65" s="753"/>
      <c r="C65" s="753"/>
      <c r="D65" s="754"/>
      <c r="E65" s="209"/>
      <c r="F65" s="210"/>
      <c r="G65" s="210"/>
      <c r="H65" s="251"/>
      <c r="I65" s="251" t="s">
        <v>253</v>
      </c>
      <c r="J65" s="236"/>
      <c r="K65" s="210"/>
      <c r="L65" s="210"/>
      <c r="M65" s="210"/>
      <c r="N65" s="210"/>
      <c r="O65" s="210"/>
      <c r="P65" s="210"/>
      <c r="Q65" s="251"/>
      <c r="R65" s="251" t="s">
        <v>253</v>
      </c>
      <c r="S65" s="236"/>
      <c r="T65" s="210"/>
      <c r="U65" s="210"/>
      <c r="V65" s="210"/>
      <c r="W65" s="210"/>
      <c r="X65" s="210"/>
      <c r="Y65" s="210"/>
      <c r="Z65" s="251"/>
      <c r="AA65" s="251" t="s">
        <v>253</v>
      </c>
      <c r="AB65" s="236"/>
      <c r="AC65" s="210"/>
      <c r="AD65" s="210"/>
      <c r="AE65" s="210"/>
      <c r="AF65" s="210"/>
      <c r="AG65" s="253"/>
      <c r="AH65" s="253"/>
      <c r="AI65" s="260" t="s">
        <v>411</v>
      </c>
      <c r="AJ65" s="755" t="s">
        <v>867</v>
      </c>
      <c r="AK65" s="755"/>
      <c r="AL65" s="755"/>
      <c r="AM65" s="756"/>
    </row>
    <row r="66" spans="2:39" ht="12.95" customHeight="1">
      <c r="E66" s="209"/>
      <c r="F66" s="210"/>
      <c r="G66" s="210"/>
      <c r="H66" s="210"/>
      <c r="I66" s="210"/>
      <c r="J66" s="237"/>
      <c r="K66" s="217"/>
      <c r="L66" s="210"/>
      <c r="M66" s="210"/>
      <c r="N66" s="210"/>
      <c r="O66" s="210"/>
      <c r="P66" s="210"/>
      <c r="Q66" s="210"/>
      <c r="R66" s="210"/>
      <c r="S66" s="237"/>
      <c r="T66" s="210"/>
      <c r="U66" s="210"/>
      <c r="V66" s="210"/>
      <c r="W66" s="210"/>
      <c r="X66" s="210"/>
      <c r="Y66" s="210"/>
      <c r="Z66" s="210"/>
      <c r="AA66" s="210"/>
      <c r="AB66" s="237"/>
      <c r="AC66" s="210"/>
      <c r="AD66" s="210"/>
      <c r="AE66" s="210"/>
      <c r="AF66" s="210"/>
      <c r="AG66" s="259"/>
      <c r="AH66" s="259"/>
      <c r="AI66" s="261" t="s">
        <v>412</v>
      </c>
      <c r="AJ66" s="757">
        <v>2.2000000000000002</v>
      </c>
      <c r="AK66" s="757"/>
      <c r="AL66" s="757"/>
      <c r="AM66" s="758"/>
    </row>
    <row r="67" spans="2:39" ht="12.95" customHeight="1">
      <c r="E67" s="209"/>
      <c r="F67" s="759" t="s">
        <v>422</v>
      </c>
      <c r="G67" s="760"/>
      <c r="H67" s="760"/>
      <c r="I67" s="760"/>
      <c r="J67" s="760"/>
      <c r="K67" s="760"/>
      <c r="L67" s="760"/>
      <c r="M67" s="761"/>
      <c r="N67" s="210"/>
      <c r="O67" s="759" t="s">
        <v>423</v>
      </c>
      <c r="P67" s="760"/>
      <c r="Q67" s="760"/>
      <c r="R67" s="760"/>
      <c r="S67" s="760"/>
      <c r="T67" s="760"/>
      <c r="U67" s="760"/>
      <c r="V67" s="761"/>
      <c r="W67" s="211"/>
      <c r="X67" s="759" t="s">
        <v>421</v>
      </c>
      <c r="Y67" s="760"/>
      <c r="Z67" s="760"/>
      <c r="AA67" s="760"/>
      <c r="AB67" s="760"/>
      <c r="AC67" s="760"/>
      <c r="AD67" s="760"/>
      <c r="AE67" s="761"/>
      <c r="AF67" s="212"/>
    </row>
    <row r="68" spans="2:39" ht="12.95" customHeight="1">
      <c r="E68" s="209"/>
      <c r="F68" s="762"/>
      <c r="G68" s="763"/>
      <c r="H68" s="763"/>
      <c r="I68" s="763"/>
      <c r="J68" s="763"/>
      <c r="K68" s="763"/>
      <c r="L68" s="763"/>
      <c r="M68" s="764"/>
      <c r="N68" s="210"/>
      <c r="O68" s="762"/>
      <c r="P68" s="763"/>
      <c r="Q68" s="763"/>
      <c r="R68" s="763"/>
      <c r="S68" s="763"/>
      <c r="T68" s="763"/>
      <c r="U68" s="763"/>
      <c r="V68" s="764"/>
      <c r="W68" s="211"/>
      <c r="X68" s="762"/>
      <c r="Y68" s="763"/>
      <c r="Z68" s="763"/>
      <c r="AA68" s="763"/>
      <c r="AB68" s="763"/>
      <c r="AC68" s="763"/>
      <c r="AD68" s="763"/>
      <c r="AE68" s="764"/>
      <c r="AF68" s="212"/>
    </row>
    <row r="69" spans="2:39" ht="12.95" customHeight="1">
      <c r="E69" s="213" t="s">
        <v>404</v>
      </c>
      <c r="F69" s="214"/>
      <c r="G69" s="210"/>
      <c r="H69" s="211"/>
      <c r="I69" s="211"/>
      <c r="J69" s="211"/>
      <c r="K69" s="211"/>
      <c r="L69" s="211"/>
      <c r="M69" s="211"/>
      <c r="N69" s="215" t="s">
        <v>404</v>
      </c>
      <c r="O69" s="211"/>
      <c r="P69" s="211"/>
      <c r="Q69" s="211"/>
      <c r="R69" s="211"/>
      <c r="S69" s="211"/>
      <c r="T69" s="211"/>
      <c r="U69" s="211"/>
      <c r="V69" s="211"/>
      <c r="W69" s="215" t="s">
        <v>418</v>
      </c>
      <c r="X69" s="211"/>
      <c r="Y69" s="211"/>
      <c r="Z69" s="211"/>
      <c r="AA69" s="211"/>
      <c r="AB69" s="211"/>
      <c r="AC69" s="211"/>
      <c r="AD69" s="211"/>
      <c r="AE69" s="211"/>
      <c r="AF69" s="212"/>
    </row>
    <row r="70" spans="2:39" ht="12.95" customHeight="1">
      <c r="E70" s="213" t="s">
        <v>405</v>
      </c>
      <c r="F70" s="214"/>
      <c r="G70" s="210"/>
      <c r="H70" s="211"/>
      <c r="I70" s="211"/>
      <c r="J70" s="211"/>
      <c r="K70" s="211"/>
      <c r="L70" s="211"/>
      <c r="M70" s="211"/>
      <c r="N70" s="215" t="s">
        <v>405</v>
      </c>
      <c r="O70" s="211"/>
      <c r="P70" s="211"/>
      <c r="Q70" s="211"/>
      <c r="R70" s="211"/>
      <c r="S70" s="211"/>
      <c r="T70" s="211"/>
      <c r="U70" s="211"/>
      <c r="V70" s="211"/>
      <c r="W70" s="215" t="s">
        <v>419</v>
      </c>
      <c r="X70" s="211"/>
      <c r="Y70" s="211"/>
      <c r="Z70" s="211"/>
      <c r="AA70" s="211"/>
      <c r="AB70" s="211"/>
      <c r="AC70" s="211"/>
      <c r="AD70" s="211"/>
      <c r="AE70" s="211"/>
      <c r="AF70" s="212"/>
    </row>
    <row r="71" spans="2:39" ht="12.95" customHeight="1">
      <c r="E71" s="213" t="s">
        <v>406</v>
      </c>
      <c r="F71" s="214"/>
      <c r="G71" s="210"/>
      <c r="H71" s="211"/>
      <c r="I71" s="211"/>
      <c r="J71" s="211"/>
      <c r="K71" s="211"/>
      <c r="L71" s="211"/>
      <c r="M71" s="211"/>
      <c r="N71" s="215" t="s">
        <v>406</v>
      </c>
      <c r="O71" s="211"/>
      <c r="P71" s="211"/>
      <c r="Q71" s="211"/>
      <c r="R71" s="211"/>
      <c r="S71" s="211"/>
      <c r="T71" s="211"/>
      <c r="U71" s="211"/>
      <c r="V71" s="211"/>
      <c r="W71" s="215" t="s">
        <v>420</v>
      </c>
      <c r="X71" s="211"/>
      <c r="Y71" s="211"/>
      <c r="Z71" s="211"/>
      <c r="AA71" s="211"/>
      <c r="AB71" s="211"/>
      <c r="AC71" s="211"/>
      <c r="AD71" s="211"/>
      <c r="AE71" s="211"/>
      <c r="AF71" s="212"/>
    </row>
    <row r="72" spans="2:39" ht="12.95" customHeight="1">
      <c r="E72" s="213" t="s">
        <v>407</v>
      </c>
      <c r="F72" s="214"/>
      <c r="G72" s="210"/>
      <c r="H72" s="211"/>
      <c r="I72" s="211"/>
      <c r="J72" s="211"/>
      <c r="K72" s="211"/>
      <c r="L72" s="211"/>
      <c r="M72" s="211"/>
      <c r="N72" s="215" t="s">
        <v>407</v>
      </c>
      <c r="O72" s="211"/>
      <c r="P72" s="211"/>
      <c r="Q72" s="211"/>
      <c r="R72" s="211"/>
      <c r="S72" s="211"/>
      <c r="T72" s="211"/>
      <c r="U72" s="211"/>
      <c r="V72" s="211"/>
      <c r="W72" s="211"/>
      <c r="X72" s="211"/>
      <c r="Y72" s="211"/>
      <c r="Z72" s="211"/>
      <c r="AA72" s="211"/>
      <c r="AB72" s="211"/>
      <c r="AC72" s="211"/>
      <c r="AD72" s="211"/>
      <c r="AE72" s="211"/>
      <c r="AF72" s="212"/>
    </row>
    <row r="73" spans="2:39" ht="12.95" customHeight="1">
      <c r="E73" s="216"/>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8"/>
    </row>
    <row r="78" spans="2:39" ht="12.95" customHeight="1">
      <c r="E78" s="183"/>
    </row>
  </sheetData>
  <mergeCells count="37">
    <mergeCell ref="E31:H31"/>
    <mergeCell ref="N31:Q31"/>
    <mergeCell ref="B2:AN3"/>
    <mergeCell ref="E12:H12"/>
    <mergeCell ref="N12:Q12"/>
    <mergeCell ref="E17:H17"/>
    <mergeCell ref="N17:Q17"/>
    <mergeCell ref="F21:M21"/>
    <mergeCell ref="O21:V21"/>
    <mergeCell ref="F22:V22"/>
    <mergeCell ref="F23:M23"/>
    <mergeCell ref="O23:V23"/>
    <mergeCell ref="E26:H26"/>
    <mergeCell ref="N26:Q26"/>
    <mergeCell ref="E35:AM35"/>
    <mergeCell ref="B36:D37"/>
    <mergeCell ref="B41:D42"/>
    <mergeCell ref="E41:H41"/>
    <mergeCell ref="N41:Q41"/>
    <mergeCell ref="W41:Z41"/>
    <mergeCell ref="AF41:AI41"/>
    <mergeCell ref="B64:D65"/>
    <mergeCell ref="AJ65:AM65"/>
    <mergeCell ref="B44:D44"/>
    <mergeCell ref="B45:D45"/>
    <mergeCell ref="B47:D48"/>
    <mergeCell ref="E47:H47"/>
    <mergeCell ref="W47:Z47"/>
    <mergeCell ref="AF47:AI47"/>
    <mergeCell ref="AJ66:AM66"/>
    <mergeCell ref="F67:M68"/>
    <mergeCell ref="O67:V68"/>
    <mergeCell ref="X67:AE68"/>
    <mergeCell ref="E52:H52"/>
    <mergeCell ref="N52:Q52"/>
    <mergeCell ref="W52:Z52"/>
    <mergeCell ref="AF52:AI52"/>
  </mergeCells>
  <phoneticPr fontId="3"/>
  <hyperlinks>
    <hyperlink ref="A1" location="menu!A1" display="menu" xr:uid="{00000000-0004-0000-2B00-000000000000}"/>
  </hyperlinks>
  <printOptions horizontalCentered="1" verticalCentered="1"/>
  <pageMargins left="0.59055118110236227" right="0.59055118110236227" top="0.39370078740157483" bottom="0.39370078740157483" header="0" footer="0"/>
  <pageSetup paperSize="9" scale="82" orientation="portrait"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J302"/>
  <sheetViews>
    <sheetView showGridLines="0" showZeros="0"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F150" sqref="F150:I152"/>
    </sheetView>
  </sheetViews>
  <sheetFormatPr defaultRowHeight="18.75"/>
  <cols>
    <col min="2" max="2" width="15.625" customWidth="1"/>
    <col min="3" max="3" width="25.625" customWidth="1"/>
    <col min="4" max="4" width="4.625" customWidth="1"/>
    <col min="5" max="9" width="8.625" customWidth="1"/>
    <col min="10" max="10" width="15.625" customWidth="1"/>
  </cols>
  <sheetData>
    <row r="1" spans="1:10">
      <c r="A1" s="298" t="s">
        <v>476</v>
      </c>
    </row>
    <row r="3" spans="1:10">
      <c r="B3" t="s">
        <v>484</v>
      </c>
    </row>
    <row r="4" spans="1:10">
      <c r="B4" s="798" t="s">
        <v>494</v>
      </c>
      <c r="C4" s="799" t="s">
        <v>485</v>
      </c>
      <c r="D4" s="776" t="s">
        <v>3</v>
      </c>
      <c r="E4" s="303" t="s">
        <v>486</v>
      </c>
      <c r="F4" s="801" t="s">
        <v>488</v>
      </c>
      <c r="G4" s="802"/>
      <c r="H4" s="803"/>
      <c r="I4" s="800" t="s">
        <v>492</v>
      </c>
      <c r="J4" s="799" t="s">
        <v>493</v>
      </c>
    </row>
    <row r="5" spans="1:10">
      <c r="B5" s="798"/>
      <c r="C5" s="799"/>
      <c r="D5" s="787"/>
      <c r="E5" s="304" t="s">
        <v>487</v>
      </c>
      <c r="F5" s="303" t="s">
        <v>489</v>
      </c>
      <c r="G5" s="303" t="s">
        <v>490</v>
      </c>
      <c r="H5" s="305" t="s">
        <v>491</v>
      </c>
      <c r="I5" s="800"/>
      <c r="J5" s="799"/>
    </row>
    <row r="6" spans="1:10">
      <c r="B6" s="317"/>
      <c r="C6" s="317"/>
      <c r="D6" s="636"/>
      <c r="E6" s="306"/>
      <c r="F6" s="310"/>
      <c r="G6" s="310"/>
      <c r="H6" s="306"/>
      <c r="I6" s="311"/>
      <c r="J6" s="788"/>
    </row>
    <row r="7" spans="1:10">
      <c r="B7" s="322" t="s">
        <v>878</v>
      </c>
      <c r="C7" s="318"/>
      <c r="D7" s="637"/>
      <c r="E7" s="307"/>
      <c r="F7" s="307"/>
      <c r="G7" s="307"/>
      <c r="H7" s="307">
        <f t="shared" ref="H7" si="0">IF(SUM(F7:G7)&gt;0,AVERAGE(F7:G7),0)</f>
        <v>0</v>
      </c>
      <c r="I7" s="312">
        <f t="shared" ref="I7" si="1">+IF(AND(E7&gt;0,H7=0),E7,IF(AND(E7=0,H7&gt;0),H7,0))</f>
        <v>0</v>
      </c>
      <c r="J7" s="789"/>
    </row>
    <row r="8" spans="1:10">
      <c r="B8" s="6"/>
      <c r="C8" s="6"/>
      <c r="D8" s="638"/>
      <c r="E8" s="308"/>
      <c r="F8" s="309"/>
      <c r="G8" s="309"/>
      <c r="H8" s="308"/>
      <c r="I8" s="313"/>
      <c r="J8" s="790"/>
    </row>
    <row r="9" spans="1:10">
      <c r="B9" s="788" t="s">
        <v>12</v>
      </c>
      <c r="C9" s="792" t="s">
        <v>879</v>
      </c>
      <c r="D9" s="636" t="s">
        <v>16</v>
      </c>
      <c r="E9" s="306"/>
      <c r="F9" s="310"/>
      <c r="G9" s="310"/>
      <c r="H9" s="306"/>
      <c r="I9" s="311"/>
      <c r="J9" s="788"/>
    </row>
    <row r="10" spans="1:10">
      <c r="B10" s="789"/>
      <c r="C10" s="789"/>
      <c r="D10" s="637"/>
      <c r="E10" s="307">
        <v>886000</v>
      </c>
      <c r="F10" s="307"/>
      <c r="G10" s="307"/>
      <c r="H10" s="307">
        <f>IF(SUM(F10:G10)&gt;0,AVERAGE(F10:G10),0)</f>
        <v>0</v>
      </c>
      <c r="I10" s="312">
        <f>+IF(AND(E10&gt;0,H10=0),E10,IF(AND(E10=0,H10&gt;0),H10,0))</f>
        <v>886000</v>
      </c>
      <c r="J10" s="789"/>
    </row>
    <row r="11" spans="1:10">
      <c r="B11" s="790"/>
      <c r="C11" s="790"/>
      <c r="D11" s="638"/>
      <c r="E11" s="308"/>
      <c r="F11" s="309"/>
      <c r="G11" s="309"/>
      <c r="H11" s="308"/>
      <c r="I11" s="313"/>
      <c r="J11" s="790"/>
    </row>
    <row r="12" spans="1:10">
      <c r="B12" s="788" t="s">
        <v>577</v>
      </c>
      <c r="C12" s="792" t="s">
        <v>674</v>
      </c>
      <c r="D12" s="636" t="s">
        <v>578</v>
      </c>
      <c r="E12" s="306"/>
      <c r="F12" s="310"/>
      <c r="G12" s="310"/>
      <c r="H12" s="306"/>
      <c r="I12" s="311"/>
      <c r="J12" s="788"/>
    </row>
    <row r="13" spans="1:10">
      <c r="B13" s="789"/>
      <c r="C13" s="789"/>
      <c r="D13" s="637"/>
      <c r="E13" s="307">
        <v>715000</v>
      </c>
      <c r="F13" s="307"/>
      <c r="G13" s="307"/>
      <c r="H13" s="307">
        <f t="shared" ref="H13" si="2">IF(SUM(F13:G13)&gt;0,AVERAGE(F13:G13),0)</f>
        <v>0</v>
      </c>
      <c r="I13" s="312">
        <f t="shared" ref="I13" si="3">+IF(AND(E13&gt;0,H13=0),E13,IF(AND(E13=0,H13&gt;0),H13,0))</f>
        <v>715000</v>
      </c>
      <c r="J13" s="789"/>
    </row>
    <row r="14" spans="1:10">
      <c r="B14" s="790"/>
      <c r="C14" s="790"/>
      <c r="D14" s="638"/>
      <c r="E14" s="308"/>
      <c r="F14" s="309"/>
      <c r="G14" s="309"/>
      <c r="H14" s="308"/>
      <c r="I14" s="313"/>
      <c r="J14" s="790"/>
    </row>
    <row r="15" spans="1:10">
      <c r="B15" s="788" t="s">
        <v>612</v>
      </c>
      <c r="C15" s="792" t="s">
        <v>675</v>
      </c>
      <c r="D15" s="636" t="s">
        <v>588</v>
      </c>
      <c r="E15" s="306"/>
      <c r="F15" s="310"/>
      <c r="G15" s="310"/>
      <c r="H15" s="306"/>
      <c r="I15" s="311"/>
      <c r="J15" s="788"/>
    </row>
    <row r="16" spans="1:10">
      <c r="B16" s="789"/>
      <c r="C16" s="789"/>
      <c r="D16" s="637"/>
      <c r="E16" s="307">
        <v>114000</v>
      </c>
      <c r="F16" s="307"/>
      <c r="G16" s="307"/>
      <c r="H16" s="307">
        <f t="shared" ref="H16" si="4">IF(SUM(F16:G16)&gt;0,AVERAGE(F16:G16),0)</f>
        <v>0</v>
      </c>
      <c r="I16" s="312">
        <f t="shared" ref="I16" si="5">+IF(AND(E16&gt;0,H16=0),E16,IF(AND(E16=0,H16&gt;0),H16,0))</f>
        <v>114000</v>
      </c>
      <c r="J16" s="789"/>
    </row>
    <row r="17" spans="2:10">
      <c r="B17" s="790"/>
      <c r="C17" s="790"/>
      <c r="D17" s="638"/>
      <c r="E17" s="308"/>
      <c r="F17" s="309"/>
      <c r="G17" s="309"/>
      <c r="H17" s="308"/>
      <c r="I17" s="313"/>
      <c r="J17" s="790"/>
    </row>
    <row r="18" spans="2:10">
      <c r="B18" s="788" t="s">
        <v>613</v>
      </c>
      <c r="C18" s="792" t="s">
        <v>676</v>
      </c>
      <c r="D18" s="636" t="s">
        <v>588</v>
      </c>
      <c r="E18" s="306"/>
      <c r="F18" s="310"/>
      <c r="G18" s="310"/>
      <c r="H18" s="306"/>
      <c r="I18" s="311"/>
      <c r="J18" s="788"/>
    </row>
    <row r="19" spans="2:10">
      <c r="B19" s="789"/>
      <c r="C19" s="789"/>
      <c r="D19" s="637"/>
      <c r="E19" s="307">
        <v>233000</v>
      </c>
      <c r="F19" s="307"/>
      <c r="G19" s="307"/>
      <c r="H19" s="307">
        <f t="shared" ref="H19" si="6">IF(SUM(F19:G19)&gt;0,AVERAGE(F19:G19),0)</f>
        <v>0</v>
      </c>
      <c r="I19" s="312">
        <f t="shared" ref="I19" si="7">+IF(AND(E19&gt;0,H19=0),E19,IF(AND(E19=0,H19&gt;0),H19,0))</f>
        <v>233000</v>
      </c>
      <c r="J19" s="789"/>
    </row>
    <row r="20" spans="2:10">
      <c r="B20" s="790"/>
      <c r="C20" s="790"/>
      <c r="D20" s="638"/>
      <c r="E20" s="308"/>
      <c r="F20" s="309"/>
      <c r="G20" s="309"/>
      <c r="H20" s="308"/>
      <c r="I20" s="313"/>
      <c r="J20" s="790"/>
    </row>
    <row r="21" spans="2:10">
      <c r="B21" s="788" t="s">
        <v>614</v>
      </c>
      <c r="C21" s="792" t="s">
        <v>946</v>
      </c>
      <c r="D21" s="636" t="s">
        <v>588</v>
      </c>
      <c r="E21" s="306"/>
      <c r="F21" s="310"/>
      <c r="G21" s="310"/>
      <c r="H21" s="306"/>
      <c r="I21" s="311"/>
      <c r="J21" s="788"/>
    </row>
    <row r="22" spans="2:10">
      <c r="B22" s="789"/>
      <c r="C22" s="789"/>
      <c r="D22" s="637"/>
      <c r="E22" s="307">
        <v>17600</v>
      </c>
      <c r="F22" s="307"/>
      <c r="G22" s="307"/>
      <c r="H22" s="307">
        <f t="shared" ref="H22" si="8">IF(SUM(F22:G22)&gt;0,AVERAGE(F22:G22),0)</f>
        <v>0</v>
      </c>
      <c r="I22" s="312">
        <f t="shared" ref="I22" si="9">+IF(AND(E22&gt;0,H22=0),E22,IF(AND(E22=0,H22&gt;0),H22,0))</f>
        <v>17600</v>
      </c>
      <c r="J22" s="789"/>
    </row>
    <row r="23" spans="2:10">
      <c r="B23" s="790"/>
      <c r="C23" s="790"/>
      <c r="D23" s="638"/>
      <c r="E23" s="308"/>
      <c r="F23" s="309"/>
      <c r="G23" s="309"/>
      <c r="H23" s="308"/>
      <c r="I23" s="313"/>
      <c r="J23" s="790"/>
    </row>
    <row r="24" spans="2:10">
      <c r="B24" s="788" t="s">
        <v>615</v>
      </c>
      <c r="C24" s="792" t="s">
        <v>677</v>
      </c>
      <c r="D24" s="636" t="s">
        <v>588</v>
      </c>
      <c r="E24" s="306"/>
      <c r="F24" s="310"/>
      <c r="G24" s="310"/>
      <c r="H24" s="306"/>
      <c r="I24" s="311"/>
      <c r="J24" s="788"/>
    </row>
    <row r="25" spans="2:10">
      <c r="B25" s="789"/>
      <c r="C25" s="789"/>
      <c r="D25" s="637"/>
      <c r="E25" s="307">
        <v>516000</v>
      </c>
      <c r="F25" s="307"/>
      <c r="G25" s="307"/>
      <c r="H25" s="307">
        <f t="shared" ref="H25" si="10">IF(SUM(F25:G25)&gt;0,AVERAGE(F25:G25),0)</f>
        <v>0</v>
      </c>
      <c r="I25" s="312">
        <f t="shared" ref="I25" si="11">+IF(AND(E25&gt;0,H25=0),E25,IF(AND(E25=0,H25&gt;0),H25,0))</f>
        <v>516000</v>
      </c>
      <c r="J25" s="789"/>
    </row>
    <row r="26" spans="2:10">
      <c r="B26" s="790"/>
      <c r="C26" s="790"/>
      <c r="D26" s="638"/>
      <c r="E26" s="308"/>
      <c r="F26" s="309"/>
      <c r="G26" s="309"/>
      <c r="H26" s="308"/>
      <c r="I26" s="313"/>
      <c r="J26" s="790"/>
    </row>
    <row r="27" spans="2:10">
      <c r="B27" s="788" t="s">
        <v>616</v>
      </c>
      <c r="C27" s="792" t="s">
        <v>945</v>
      </c>
      <c r="D27" s="636" t="s">
        <v>617</v>
      </c>
      <c r="E27" s="306"/>
      <c r="F27" s="310"/>
      <c r="G27" s="310"/>
      <c r="H27" s="306"/>
      <c r="I27" s="311"/>
      <c r="J27" s="788"/>
    </row>
    <row r="28" spans="2:10">
      <c r="B28" s="789"/>
      <c r="C28" s="789"/>
      <c r="D28" s="637"/>
      <c r="E28" s="307">
        <v>3114000</v>
      </c>
      <c r="F28" s="307"/>
      <c r="G28" s="307"/>
      <c r="H28" s="307">
        <f t="shared" ref="H28" si="12">IF(SUM(F28:G28)&gt;0,AVERAGE(F28:G28),0)</f>
        <v>0</v>
      </c>
      <c r="I28" s="312">
        <f t="shared" ref="I28" si="13">+IF(AND(E28&gt;0,H28=0),E28,IF(AND(E28=0,H28&gt;0),H28,0))</f>
        <v>3114000</v>
      </c>
      <c r="J28" s="789"/>
    </row>
    <row r="29" spans="2:10">
      <c r="B29" s="790"/>
      <c r="C29" s="790"/>
      <c r="D29" s="638"/>
      <c r="E29" s="308"/>
      <c r="F29" s="309"/>
      <c r="G29" s="309"/>
      <c r="H29" s="308"/>
      <c r="I29" s="313"/>
      <c r="J29" s="790"/>
    </row>
    <row r="30" spans="2:10">
      <c r="B30" s="788" t="s">
        <v>618</v>
      </c>
      <c r="C30" s="792" t="s">
        <v>678</v>
      </c>
      <c r="D30" s="636" t="s">
        <v>617</v>
      </c>
      <c r="E30" s="306"/>
      <c r="F30" s="310"/>
      <c r="G30" s="310"/>
      <c r="H30" s="306"/>
      <c r="I30" s="311"/>
      <c r="J30" s="788"/>
    </row>
    <row r="31" spans="2:10">
      <c r="B31" s="789"/>
      <c r="C31" s="789"/>
      <c r="D31" s="637"/>
      <c r="E31" s="307">
        <v>400000</v>
      </c>
      <c r="F31" s="307"/>
      <c r="G31" s="307"/>
      <c r="H31" s="307">
        <f t="shared" ref="H31" si="14">IF(SUM(F31:G31)&gt;0,AVERAGE(F31:G31),0)</f>
        <v>0</v>
      </c>
      <c r="I31" s="312">
        <f t="shared" ref="I31" si="15">+IF(AND(E31&gt;0,H31=0),E31,IF(AND(E31=0,H31&gt;0),H31,0))</f>
        <v>400000</v>
      </c>
      <c r="J31" s="789"/>
    </row>
    <row r="32" spans="2:10">
      <c r="B32" s="790"/>
      <c r="C32" s="790"/>
      <c r="D32" s="638"/>
      <c r="E32" s="308"/>
      <c r="F32" s="309"/>
      <c r="G32" s="309"/>
      <c r="H32" s="308"/>
      <c r="I32" s="313"/>
      <c r="J32" s="790"/>
    </row>
    <row r="33" spans="2:10">
      <c r="B33" s="788" t="s">
        <v>592</v>
      </c>
      <c r="C33" s="792" t="s">
        <v>679</v>
      </c>
      <c r="D33" s="636" t="s">
        <v>617</v>
      </c>
      <c r="E33" s="306"/>
      <c r="F33" s="310"/>
      <c r="G33" s="310"/>
      <c r="H33" s="306"/>
      <c r="I33" s="311"/>
      <c r="J33" s="788"/>
    </row>
    <row r="34" spans="2:10">
      <c r="B34" s="789"/>
      <c r="C34" s="789"/>
      <c r="D34" s="637"/>
      <c r="E34" s="307">
        <v>114000</v>
      </c>
      <c r="F34" s="307"/>
      <c r="G34" s="307"/>
      <c r="H34" s="307">
        <f t="shared" ref="H34" si="16">IF(SUM(F34:G34)&gt;0,AVERAGE(F34:G34),0)</f>
        <v>0</v>
      </c>
      <c r="I34" s="312">
        <f t="shared" ref="I34" si="17">+IF(AND(E34&gt;0,H34=0),E34,IF(AND(E34=0,H34&gt;0),H34,0))</f>
        <v>114000</v>
      </c>
      <c r="J34" s="789"/>
    </row>
    <row r="35" spans="2:10">
      <c r="B35" s="790"/>
      <c r="C35" s="790"/>
      <c r="D35" s="638"/>
      <c r="E35" s="308"/>
      <c r="F35" s="309"/>
      <c r="G35" s="309"/>
      <c r="H35" s="308"/>
      <c r="I35" s="313"/>
      <c r="J35" s="790"/>
    </row>
    <row r="36" spans="2:10">
      <c r="B36" s="792" t="s">
        <v>619</v>
      </c>
      <c r="C36" s="788"/>
      <c r="D36" s="636" t="s">
        <v>620</v>
      </c>
      <c r="E36" s="306"/>
      <c r="F36" s="310"/>
      <c r="G36" s="310"/>
      <c r="H36" s="306"/>
      <c r="I36" s="311"/>
      <c r="J36" s="788"/>
    </row>
    <row r="37" spans="2:10">
      <c r="B37" s="789"/>
      <c r="C37" s="789"/>
      <c r="D37" s="637"/>
      <c r="E37" s="307">
        <v>34800</v>
      </c>
      <c r="F37" s="307"/>
      <c r="G37" s="307"/>
      <c r="H37" s="307">
        <f t="shared" ref="H37" si="18">IF(SUM(F37:G37)&gt;0,AVERAGE(F37:G37),0)</f>
        <v>0</v>
      </c>
      <c r="I37" s="312">
        <f t="shared" ref="I37" si="19">+IF(AND(E37&gt;0,H37=0),E37,IF(AND(E37=0,H37&gt;0),H37,0))</f>
        <v>34800</v>
      </c>
      <c r="J37" s="789"/>
    </row>
    <row r="38" spans="2:10">
      <c r="B38" s="790"/>
      <c r="C38" s="790"/>
      <c r="D38" s="638"/>
      <c r="E38" s="308"/>
      <c r="F38" s="309"/>
      <c r="G38" s="309"/>
      <c r="H38" s="308"/>
      <c r="I38" s="313"/>
      <c r="J38" s="790"/>
    </row>
    <row r="39" spans="2:10">
      <c r="B39" s="317"/>
      <c r="C39" s="317"/>
      <c r="D39" s="636"/>
      <c r="E39" s="306"/>
      <c r="F39" s="310"/>
      <c r="G39" s="310"/>
      <c r="H39" s="306"/>
      <c r="I39" s="311"/>
      <c r="J39" s="788"/>
    </row>
    <row r="40" spans="2:10">
      <c r="B40" s="322"/>
      <c r="C40" s="318"/>
      <c r="D40" s="637"/>
      <c r="E40" s="307"/>
      <c r="F40" s="307"/>
      <c r="G40" s="307"/>
      <c r="H40" s="307"/>
      <c r="I40" s="312"/>
      <c r="J40" s="789"/>
    </row>
    <row r="41" spans="2:10">
      <c r="B41" s="6"/>
      <c r="C41" s="6"/>
      <c r="D41" s="638"/>
      <c r="E41" s="308"/>
      <c r="F41" s="309"/>
      <c r="G41" s="309"/>
      <c r="H41" s="308"/>
      <c r="I41" s="313"/>
      <c r="J41" s="790"/>
    </row>
    <row r="42" spans="2:10">
      <c r="B42" s="792"/>
      <c r="C42" s="792"/>
      <c r="D42" s="636"/>
      <c r="E42" s="306"/>
      <c r="F42" s="310"/>
      <c r="G42" s="310"/>
      <c r="H42" s="306"/>
      <c r="I42" s="311"/>
      <c r="J42" s="788"/>
    </row>
    <row r="43" spans="2:10">
      <c r="B43" s="789"/>
      <c r="C43" s="789"/>
      <c r="D43" s="637"/>
      <c r="E43" s="307"/>
      <c r="F43" s="307"/>
      <c r="G43" s="307"/>
      <c r="H43" s="307"/>
      <c r="I43" s="312"/>
      <c r="J43" s="789"/>
    </row>
    <row r="44" spans="2:10">
      <c r="B44" s="790"/>
      <c r="C44" s="790"/>
      <c r="D44" s="638"/>
      <c r="E44" s="308"/>
      <c r="F44" s="309"/>
      <c r="G44" s="309"/>
      <c r="H44" s="308"/>
      <c r="I44" s="313"/>
      <c r="J44" s="790"/>
    </row>
    <row r="45" spans="2:10">
      <c r="B45" s="792"/>
      <c r="C45" s="792"/>
      <c r="D45" s="636"/>
      <c r="E45" s="306"/>
      <c r="F45" s="310"/>
      <c r="G45" s="310"/>
      <c r="H45" s="306"/>
      <c r="I45" s="311"/>
      <c r="J45" s="788"/>
    </row>
    <row r="46" spans="2:10">
      <c r="B46" s="789"/>
      <c r="C46" s="789"/>
      <c r="D46" s="637"/>
      <c r="E46" s="307"/>
      <c r="F46" s="307"/>
      <c r="G46" s="307"/>
      <c r="H46" s="307"/>
      <c r="I46" s="312"/>
      <c r="J46" s="789"/>
    </row>
    <row r="47" spans="2:10">
      <c r="B47" s="790"/>
      <c r="C47" s="790"/>
      <c r="D47" s="638"/>
      <c r="E47" s="308"/>
      <c r="F47" s="309"/>
      <c r="G47" s="309"/>
      <c r="H47" s="308"/>
      <c r="I47" s="313"/>
      <c r="J47" s="790"/>
    </row>
    <row r="48" spans="2:10">
      <c r="B48" s="792"/>
      <c r="C48" s="792"/>
      <c r="D48" s="636"/>
      <c r="E48" s="306"/>
      <c r="F48" s="310"/>
      <c r="G48" s="310"/>
      <c r="H48" s="306"/>
      <c r="I48" s="311"/>
      <c r="J48" s="788"/>
    </row>
    <row r="49" spans="2:10">
      <c r="B49" s="789"/>
      <c r="C49" s="789"/>
      <c r="D49" s="637"/>
      <c r="E49" s="307"/>
      <c r="F49" s="307"/>
      <c r="G49" s="307"/>
      <c r="H49" s="307"/>
      <c r="I49" s="312"/>
      <c r="J49" s="789"/>
    </row>
    <row r="50" spans="2:10">
      <c r="B50" s="790"/>
      <c r="C50" s="790"/>
      <c r="D50" s="638"/>
      <c r="E50" s="308"/>
      <c r="F50" s="309"/>
      <c r="G50" s="309"/>
      <c r="H50" s="308"/>
      <c r="I50" s="313"/>
      <c r="J50" s="790"/>
    </row>
    <row r="51" spans="2:10">
      <c r="B51" s="792"/>
      <c r="C51" s="792"/>
      <c r="D51" s="636"/>
      <c r="E51" s="306"/>
      <c r="F51" s="310"/>
      <c r="G51" s="310"/>
      <c r="H51" s="306"/>
      <c r="I51" s="311"/>
      <c r="J51" s="788"/>
    </row>
    <row r="52" spans="2:10">
      <c r="B52" s="789"/>
      <c r="C52" s="789"/>
      <c r="D52" s="637"/>
      <c r="E52" s="307"/>
      <c r="F52" s="307"/>
      <c r="G52" s="307"/>
      <c r="H52" s="307"/>
      <c r="I52" s="312"/>
      <c r="J52" s="789"/>
    </row>
    <row r="53" spans="2:10">
      <c r="B53" s="790"/>
      <c r="C53" s="790"/>
      <c r="D53" s="638"/>
      <c r="E53" s="308"/>
      <c r="F53" s="309"/>
      <c r="G53" s="309"/>
      <c r="H53" s="308"/>
      <c r="I53" s="313"/>
      <c r="J53" s="790"/>
    </row>
    <row r="54" spans="2:10">
      <c r="B54" s="317"/>
      <c r="C54" s="317"/>
      <c r="D54" s="636"/>
      <c r="E54" s="306"/>
      <c r="F54" s="310"/>
      <c r="G54" s="310"/>
      <c r="H54" s="306"/>
      <c r="I54" s="311"/>
      <c r="J54" s="788"/>
    </row>
    <row r="55" spans="2:10">
      <c r="B55" s="322" t="s">
        <v>877</v>
      </c>
      <c r="C55" s="318"/>
      <c r="D55" s="637"/>
      <c r="E55" s="307"/>
      <c r="F55" s="307"/>
      <c r="G55" s="307"/>
      <c r="H55" s="307"/>
      <c r="I55" s="312"/>
      <c r="J55" s="789"/>
    </row>
    <row r="56" spans="2:10">
      <c r="B56" s="6"/>
      <c r="C56" s="6"/>
      <c r="D56" s="638"/>
      <c r="E56" s="308"/>
      <c r="F56" s="309"/>
      <c r="G56" s="309"/>
      <c r="H56" s="308"/>
      <c r="I56" s="313"/>
      <c r="J56" s="790"/>
    </row>
    <row r="57" spans="2:10">
      <c r="B57" s="792" t="s">
        <v>680</v>
      </c>
      <c r="C57" s="792" t="s">
        <v>682</v>
      </c>
      <c r="D57" s="636" t="s">
        <v>681</v>
      </c>
      <c r="E57" s="306"/>
      <c r="F57" s="310"/>
      <c r="G57" s="310"/>
      <c r="H57" s="306"/>
      <c r="I57" s="311"/>
      <c r="J57" s="788"/>
    </row>
    <row r="58" spans="2:10">
      <c r="B58" s="789"/>
      <c r="C58" s="789"/>
      <c r="D58" s="637"/>
      <c r="E58" s="307">
        <v>92400</v>
      </c>
      <c r="F58" s="307"/>
      <c r="G58" s="307"/>
      <c r="H58" s="307">
        <f t="shared" ref="H58" si="20">IF(SUM(F58:G58)&gt;0,AVERAGE(F58:G58),0)</f>
        <v>0</v>
      </c>
      <c r="I58" s="312">
        <f t="shared" ref="I58" si="21">+IF(AND(E58&gt;0,H58=0),E58,IF(AND(E58=0,H58&gt;0),H58,0))</f>
        <v>92400</v>
      </c>
      <c r="J58" s="789"/>
    </row>
    <row r="59" spans="2:10">
      <c r="B59" s="790"/>
      <c r="C59" s="790"/>
      <c r="D59" s="638"/>
      <c r="E59" s="308"/>
      <c r="F59" s="309"/>
      <c r="G59" s="309"/>
      <c r="H59" s="308"/>
      <c r="I59" s="313"/>
      <c r="J59" s="790"/>
    </row>
    <row r="60" spans="2:10">
      <c r="B60" s="792" t="s">
        <v>680</v>
      </c>
      <c r="C60" s="792" t="s">
        <v>880</v>
      </c>
      <c r="D60" s="636" t="s">
        <v>681</v>
      </c>
      <c r="E60" s="306"/>
      <c r="F60" s="310"/>
      <c r="G60" s="310"/>
      <c r="H60" s="306"/>
      <c r="I60" s="311"/>
      <c r="J60" s="788"/>
    </row>
    <row r="61" spans="2:10">
      <c r="B61" s="789"/>
      <c r="C61" s="789"/>
      <c r="D61" s="637"/>
      <c r="E61" s="307">
        <v>107000</v>
      </c>
      <c r="F61" s="307"/>
      <c r="G61" s="307"/>
      <c r="H61" s="307">
        <f t="shared" ref="H61" si="22">IF(SUM(F61:G61)&gt;0,AVERAGE(F61:G61),0)</f>
        <v>0</v>
      </c>
      <c r="I61" s="312">
        <f t="shared" ref="I61" si="23">+IF(AND(E61&gt;0,H61=0),E61,IF(AND(E61=0,H61&gt;0),H61,0))</f>
        <v>107000</v>
      </c>
      <c r="J61" s="789"/>
    </row>
    <row r="62" spans="2:10">
      <c r="B62" s="790"/>
      <c r="C62" s="790"/>
      <c r="D62" s="638"/>
      <c r="E62" s="308"/>
      <c r="F62" s="309"/>
      <c r="G62" s="309"/>
      <c r="H62" s="308"/>
      <c r="I62" s="313"/>
      <c r="J62" s="790"/>
    </row>
    <row r="63" spans="2:10">
      <c r="B63" s="792" t="s">
        <v>680</v>
      </c>
      <c r="C63" s="792" t="s">
        <v>881</v>
      </c>
      <c r="D63" s="636" t="s">
        <v>22</v>
      </c>
      <c r="E63" s="306"/>
      <c r="F63" s="310"/>
      <c r="G63" s="310"/>
      <c r="H63" s="306"/>
      <c r="I63" s="311"/>
      <c r="J63" s="788"/>
    </row>
    <row r="64" spans="2:10">
      <c r="B64" s="789"/>
      <c r="C64" s="789"/>
      <c r="D64" s="637"/>
      <c r="E64" s="307">
        <v>118000</v>
      </c>
      <c r="F64" s="307"/>
      <c r="G64" s="307"/>
      <c r="H64" s="307">
        <f t="shared" ref="H64" si="24">IF(SUM(F64:G64)&gt;0,AVERAGE(F64:G64),0)</f>
        <v>0</v>
      </c>
      <c r="I64" s="312">
        <f t="shared" ref="I64" si="25">+IF(AND(E64&gt;0,H64=0),E64,IF(AND(E64=0,H64&gt;0),H64,0))</f>
        <v>118000</v>
      </c>
      <c r="J64" s="789"/>
    </row>
    <row r="65" spans="2:10">
      <c r="B65" s="790"/>
      <c r="C65" s="790"/>
      <c r="D65" s="638"/>
      <c r="E65" s="308"/>
      <c r="F65" s="309"/>
      <c r="G65" s="309"/>
      <c r="H65" s="308"/>
      <c r="I65" s="313"/>
      <c r="J65" s="790"/>
    </row>
    <row r="66" spans="2:10" ht="18.75" customHeight="1">
      <c r="B66" s="792" t="s">
        <v>883</v>
      </c>
      <c r="C66" s="792" t="s">
        <v>884</v>
      </c>
      <c r="D66" s="636" t="s">
        <v>22</v>
      </c>
      <c r="E66" s="306"/>
      <c r="F66" s="310"/>
      <c r="G66" s="310"/>
      <c r="H66" s="306"/>
      <c r="I66" s="311"/>
      <c r="J66" s="788"/>
    </row>
    <row r="67" spans="2:10">
      <c r="B67" s="789"/>
      <c r="C67" s="789"/>
      <c r="D67" s="637"/>
      <c r="E67" s="307">
        <v>65900</v>
      </c>
      <c r="F67" s="307"/>
      <c r="G67" s="307"/>
      <c r="H67" s="307">
        <f t="shared" ref="H67" si="26">IF(SUM(F67:G67)&gt;0,AVERAGE(F67:G67),0)</f>
        <v>0</v>
      </c>
      <c r="I67" s="312">
        <f t="shared" ref="I67" si="27">+IF(AND(E67&gt;0,H67=0),E67,IF(AND(E67=0,H67&gt;0),H67,0))</f>
        <v>65900</v>
      </c>
      <c r="J67" s="789"/>
    </row>
    <row r="68" spans="2:10">
      <c r="B68" s="790"/>
      <c r="C68" s="790"/>
      <c r="D68" s="638"/>
      <c r="E68" s="308"/>
      <c r="F68" s="309"/>
      <c r="G68" s="309"/>
      <c r="H68" s="308"/>
      <c r="I68" s="313"/>
      <c r="J68" s="790"/>
    </row>
    <row r="69" spans="2:10" ht="18.75" customHeight="1">
      <c r="B69" s="792" t="s">
        <v>683</v>
      </c>
      <c r="C69" s="792" t="s">
        <v>885</v>
      </c>
      <c r="D69" s="636" t="s">
        <v>681</v>
      </c>
      <c r="E69" s="306"/>
      <c r="F69" s="310"/>
      <c r="G69" s="310"/>
      <c r="H69" s="306"/>
      <c r="I69" s="311"/>
      <c r="J69" s="788"/>
    </row>
    <row r="70" spans="2:10">
      <c r="B70" s="789"/>
      <c r="C70" s="789"/>
      <c r="D70" s="637"/>
      <c r="E70" s="307">
        <v>108000</v>
      </c>
      <c r="F70" s="307"/>
      <c r="G70" s="307"/>
      <c r="H70" s="307">
        <f t="shared" ref="H70" si="28">IF(SUM(F70:G70)&gt;0,AVERAGE(F70:G70),0)</f>
        <v>0</v>
      </c>
      <c r="I70" s="312">
        <f t="shared" ref="I70" si="29">+IF(AND(E70&gt;0,H70=0),E70,IF(AND(E70=0,H70&gt;0),H70,0))</f>
        <v>108000</v>
      </c>
      <c r="J70" s="789"/>
    </row>
    <row r="71" spans="2:10">
      <c r="B71" s="790"/>
      <c r="C71" s="790"/>
      <c r="D71" s="638"/>
      <c r="E71" s="308"/>
      <c r="F71" s="309"/>
      <c r="G71" s="309"/>
      <c r="H71" s="308"/>
      <c r="I71" s="313"/>
      <c r="J71" s="790"/>
    </row>
    <row r="72" spans="2:10" ht="18.75" customHeight="1">
      <c r="B72" s="792" t="s">
        <v>882</v>
      </c>
      <c r="C72" s="792" t="s">
        <v>886</v>
      </c>
      <c r="D72" s="636" t="s">
        <v>681</v>
      </c>
      <c r="E72" s="306"/>
      <c r="F72" s="310"/>
      <c r="G72" s="310"/>
      <c r="H72" s="306"/>
      <c r="I72" s="311"/>
      <c r="J72" s="788"/>
    </row>
    <row r="73" spans="2:10">
      <c r="B73" s="789"/>
      <c r="C73" s="789"/>
      <c r="D73" s="637"/>
      <c r="E73" s="307">
        <v>51900</v>
      </c>
      <c r="F73" s="307"/>
      <c r="G73" s="307"/>
      <c r="H73" s="307">
        <f t="shared" ref="H73" si="30">IF(SUM(F73:G73)&gt;0,AVERAGE(F73:G73),0)</f>
        <v>0</v>
      </c>
      <c r="I73" s="312">
        <f t="shared" ref="I73" si="31">+IF(AND(E73&gt;0,H73=0),E73,IF(AND(E73=0,H73&gt;0),H73,0))</f>
        <v>51900</v>
      </c>
      <c r="J73" s="789"/>
    </row>
    <row r="74" spans="2:10">
      <c r="B74" s="790"/>
      <c r="C74" s="790"/>
      <c r="D74" s="638"/>
      <c r="E74" s="308"/>
      <c r="F74" s="309"/>
      <c r="G74" s="309"/>
      <c r="H74" s="308"/>
      <c r="I74" s="313"/>
      <c r="J74" s="790"/>
    </row>
    <row r="75" spans="2:10" ht="18.75" customHeight="1">
      <c r="B75" s="788" t="s">
        <v>684</v>
      </c>
      <c r="C75" s="792" t="s">
        <v>685</v>
      </c>
      <c r="D75" s="636" t="s">
        <v>686</v>
      </c>
      <c r="E75" s="306"/>
      <c r="F75" s="310"/>
      <c r="G75" s="310"/>
      <c r="H75" s="306"/>
      <c r="I75" s="311"/>
      <c r="J75" s="788"/>
    </row>
    <row r="76" spans="2:10">
      <c r="B76" s="789"/>
      <c r="C76" s="789"/>
      <c r="D76" s="637"/>
      <c r="E76" s="307">
        <v>309000</v>
      </c>
      <c r="F76" s="307"/>
      <c r="G76" s="307"/>
      <c r="H76" s="307">
        <f t="shared" ref="H76" si="32">IF(SUM(F76:G76)&gt;0,AVERAGE(F76:G76),0)</f>
        <v>0</v>
      </c>
      <c r="I76" s="312">
        <f t="shared" ref="I76" si="33">+IF(AND(E76&gt;0,H76=0),E76,IF(AND(E76=0,H76&gt;0),H76,0))</f>
        <v>309000</v>
      </c>
      <c r="J76" s="789"/>
    </row>
    <row r="77" spans="2:10">
      <c r="B77" s="790"/>
      <c r="C77" s="790"/>
      <c r="D77" s="638"/>
      <c r="E77" s="308"/>
      <c r="F77" s="309"/>
      <c r="G77" s="309"/>
      <c r="H77" s="308"/>
      <c r="I77" s="313"/>
      <c r="J77" s="790"/>
    </row>
    <row r="78" spans="2:10" ht="18.75" customHeight="1">
      <c r="B78" s="788" t="s">
        <v>760</v>
      </c>
      <c r="C78" s="792" t="s">
        <v>761</v>
      </c>
      <c r="D78" s="636" t="s">
        <v>762</v>
      </c>
      <c r="E78" s="306"/>
      <c r="F78" s="310"/>
      <c r="G78" s="310" t="s">
        <v>1012</v>
      </c>
      <c r="H78" s="306"/>
      <c r="I78" s="311"/>
      <c r="J78" s="788"/>
    </row>
    <row r="79" spans="2:10">
      <c r="B79" s="789"/>
      <c r="C79" s="793"/>
      <c r="D79" s="637"/>
      <c r="E79" s="307"/>
      <c r="F79" s="307"/>
      <c r="G79" s="307">
        <v>13400</v>
      </c>
      <c r="H79" s="307">
        <f t="shared" ref="H79" si="34">IF(SUM(F79:G79)&gt;0,AVERAGE(F79:G79),0)</f>
        <v>13400</v>
      </c>
      <c r="I79" s="312">
        <f>+IF(AND(E79&gt;0,H79=0),E79,IF(AND(E79=0,H79&gt;0),H79,0))</f>
        <v>13400</v>
      </c>
      <c r="J79" s="789"/>
    </row>
    <row r="80" spans="2:10">
      <c r="B80" s="790"/>
      <c r="C80" s="794"/>
      <c r="D80" s="638"/>
      <c r="E80" s="308"/>
      <c r="F80" s="309"/>
      <c r="G80" s="309" t="s">
        <v>575</v>
      </c>
      <c r="H80" s="308"/>
      <c r="I80" s="313"/>
      <c r="J80" s="790"/>
    </row>
    <row r="81" spans="2:10" ht="18.75" customHeight="1">
      <c r="B81" s="788"/>
      <c r="C81" s="792"/>
      <c r="D81" s="636"/>
      <c r="E81" s="306"/>
      <c r="F81" s="310"/>
      <c r="G81" s="310"/>
      <c r="H81" s="306"/>
      <c r="I81" s="311"/>
      <c r="J81" s="788"/>
    </row>
    <row r="82" spans="2:10">
      <c r="B82" s="789"/>
      <c r="C82" s="793"/>
      <c r="D82" s="637"/>
      <c r="E82" s="307"/>
      <c r="F82" s="307"/>
      <c r="G82" s="307"/>
      <c r="H82" s="307"/>
      <c r="I82" s="312"/>
      <c r="J82" s="789"/>
    </row>
    <row r="83" spans="2:10">
      <c r="B83" s="790"/>
      <c r="C83" s="794"/>
      <c r="D83" s="638"/>
      <c r="E83" s="308"/>
      <c r="F83" s="309"/>
      <c r="G83" s="309"/>
      <c r="H83" s="308"/>
      <c r="I83" s="313"/>
      <c r="J83" s="790"/>
    </row>
    <row r="84" spans="2:10" ht="18.75" customHeight="1">
      <c r="B84" s="792"/>
      <c r="C84" s="788"/>
      <c r="D84" s="636"/>
      <c r="E84" s="306"/>
      <c r="F84" s="310"/>
      <c r="G84" s="310"/>
      <c r="H84" s="306"/>
      <c r="I84" s="311"/>
      <c r="J84" s="788"/>
    </row>
    <row r="85" spans="2:10">
      <c r="B85" s="793"/>
      <c r="C85" s="789"/>
      <c r="D85" s="637"/>
      <c r="E85" s="307"/>
      <c r="F85" s="307"/>
      <c r="G85" s="307"/>
      <c r="H85" s="307"/>
      <c r="I85" s="312"/>
      <c r="J85" s="789"/>
    </row>
    <row r="86" spans="2:10">
      <c r="B86" s="794"/>
      <c r="C86" s="790"/>
      <c r="D86" s="638"/>
      <c r="E86" s="308"/>
      <c r="F86" s="309"/>
      <c r="G86" s="309"/>
      <c r="H86" s="308"/>
      <c r="I86" s="313"/>
      <c r="J86" s="790"/>
    </row>
    <row r="87" spans="2:10" ht="18.75" customHeight="1">
      <c r="B87" s="788"/>
      <c r="C87" s="792"/>
      <c r="D87" s="636"/>
      <c r="E87" s="306"/>
      <c r="F87" s="310"/>
      <c r="G87" s="310"/>
      <c r="H87" s="306"/>
      <c r="I87" s="311"/>
      <c r="J87" s="788"/>
    </row>
    <row r="88" spans="2:10">
      <c r="B88" s="789"/>
      <c r="C88" s="793"/>
      <c r="D88" s="637"/>
      <c r="E88" s="307"/>
      <c r="F88" s="307"/>
      <c r="G88" s="307"/>
      <c r="H88" s="307"/>
      <c r="I88" s="312"/>
      <c r="J88" s="789"/>
    </row>
    <row r="89" spans="2:10">
      <c r="B89" s="790"/>
      <c r="C89" s="794"/>
      <c r="D89" s="638"/>
      <c r="E89" s="308"/>
      <c r="F89" s="309"/>
      <c r="G89" s="309"/>
      <c r="H89" s="308"/>
      <c r="I89" s="313"/>
      <c r="J89" s="790"/>
    </row>
    <row r="90" spans="2:10" ht="18.75" customHeight="1">
      <c r="B90" s="788"/>
      <c r="C90" s="792"/>
      <c r="D90" s="636"/>
      <c r="E90" s="306"/>
      <c r="F90" s="310"/>
      <c r="G90" s="310"/>
      <c r="H90" s="306"/>
      <c r="I90" s="311"/>
      <c r="J90" s="788"/>
    </row>
    <row r="91" spans="2:10">
      <c r="B91" s="789"/>
      <c r="C91" s="793"/>
      <c r="D91" s="637"/>
      <c r="E91" s="307"/>
      <c r="F91" s="307"/>
      <c r="G91" s="307"/>
      <c r="H91" s="307">
        <f t="shared" ref="H91" si="35">IF(SUM(F91:G91)&gt;0,AVERAGE(F91:G91),0)</f>
        <v>0</v>
      </c>
      <c r="I91" s="312">
        <f t="shared" ref="I91" si="36">+IF(AND(E91&gt;0,H91=0),E91,IF(AND(E91=0,H91&gt;0),H91,0))</f>
        <v>0</v>
      </c>
      <c r="J91" s="789"/>
    </row>
    <row r="92" spans="2:10">
      <c r="B92" s="790"/>
      <c r="C92" s="794"/>
      <c r="D92" s="638"/>
      <c r="E92" s="308"/>
      <c r="F92" s="309"/>
      <c r="G92" s="309"/>
      <c r="H92" s="308"/>
      <c r="I92" s="313"/>
      <c r="J92" s="790"/>
    </row>
    <row r="93" spans="2:10">
      <c r="B93" s="317"/>
      <c r="C93" s="320"/>
      <c r="D93" s="636"/>
      <c r="E93" s="306"/>
      <c r="F93" s="310"/>
      <c r="G93" s="310"/>
      <c r="H93" s="306"/>
      <c r="I93" s="311"/>
      <c r="J93" s="788"/>
    </row>
    <row r="94" spans="2:10">
      <c r="B94" s="318"/>
      <c r="C94" s="318"/>
      <c r="D94" s="637"/>
      <c r="E94" s="307"/>
      <c r="F94" s="307"/>
      <c r="G94" s="307"/>
      <c r="H94" s="307"/>
      <c r="I94" s="312"/>
      <c r="J94" s="789"/>
    </row>
    <row r="95" spans="2:10">
      <c r="B95" s="6"/>
      <c r="C95" s="6"/>
      <c r="D95" s="638"/>
      <c r="E95" s="308"/>
      <c r="F95" s="309"/>
      <c r="G95" s="309"/>
      <c r="H95" s="308"/>
      <c r="I95" s="313"/>
      <c r="J95" s="790"/>
    </row>
    <row r="96" spans="2:10" ht="18.75" customHeight="1">
      <c r="B96" s="788"/>
      <c r="C96" s="792"/>
      <c r="D96" s="636"/>
      <c r="E96" s="306"/>
      <c r="F96" s="310"/>
      <c r="G96" s="310"/>
      <c r="H96" s="306"/>
      <c r="I96" s="311"/>
      <c r="J96" s="788"/>
    </row>
    <row r="97" spans="2:10">
      <c r="B97" s="789"/>
      <c r="C97" s="793"/>
      <c r="D97" s="637"/>
      <c r="E97" s="307"/>
      <c r="F97" s="307"/>
      <c r="G97" s="307"/>
      <c r="H97" s="307"/>
      <c r="I97" s="312"/>
      <c r="J97" s="789"/>
    </row>
    <row r="98" spans="2:10">
      <c r="B98" s="790"/>
      <c r="C98" s="794"/>
      <c r="D98" s="638"/>
      <c r="E98" s="308"/>
      <c r="F98" s="309"/>
      <c r="G98" s="309"/>
      <c r="H98" s="308"/>
      <c r="I98" s="313"/>
      <c r="J98" s="790"/>
    </row>
    <row r="99" spans="2:10" ht="18.75" customHeight="1">
      <c r="B99" s="788"/>
      <c r="C99" s="792"/>
      <c r="D99" s="636"/>
      <c r="E99" s="306"/>
      <c r="F99" s="310"/>
      <c r="G99" s="310"/>
      <c r="H99" s="306"/>
      <c r="I99" s="311"/>
      <c r="J99" s="788"/>
    </row>
    <row r="100" spans="2:10">
      <c r="B100" s="789"/>
      <c r="C100" s="793"/>
      <c r="D100" s="637"/>
      <c r="E100" s="307"/>
      <c r="F100" s="307"/>
      <c r="G100" s="307"/>
      <c r="H100" s="307"/>
      <c r="I100" s="312"/>
      <c r="J100" s="789"/>
    </row>
    <row r="101" spans="2:10">
      <c r="B101" s="790"/>
      <c r="C101" s="794"/>
      <c r="D101" s="638"/>
      <c r="E101" s="308"/>
      <c r="F101" s="309"/>
      <c r="G101" s="309"/>
      <c r="H101" s="308"/>
      <c r="I101" s="313"/>
      <c r="J101" s="790"/>
    </row>
    <row r="102" spans="2:10">
      <c r="B102" s="795" t="s">
        <v>580</v>
      </c>
      <c r="C102" s="788"/>
      <c r="D102" s="636"/>
      <c r="E102" s="306"/>
      <c r="F102" s="310"/>
      <c r="G102" s="310"/>
      <c r="H102" s="306"/>
      <c r="I102" s="311"/>
      <c r="J102" s="788"/>
    </row>
    <row r="103" spans="2:10">
      <c r="B103" s="796"/>
      <c r="C103" s="789"/>
      <c r="D103" s="637"/>
      <c r="E103" s="307"/>
      <c r="F103" s="307"/>
      <c r="G103" s="307"/>
      <c r="H103" s="307">
        <f t="shared" ref="H103" si="37">IF(SUM(F103:G103)&gt;0,AVERAGE(F103:G103),0)</f>
        <v>0</v>
      </c>
      <c r="I103" s="312">
        <f t="shared" ref="I103" si="38">+IF(AND(E103&gt;0,H103=0),E103,IF(AND(E103=0,H103&gt;0),H103,0))</f>
        <v>0</v>
      </c>
      <c r="J103" s="789"/>
    </row>
    <row r="104" spans="2:10">
      <c r="B104" s="797"/>
      <c r="C104" s="790"/>
      <c r="D104" s="638"/>
      <c r="E104" s="308"/>
      <c r="F104" s="309"/>
      <c r="G104" s="309"/>
      <c r="H104" s="308"/>
      <c r="I104" s="313"/>
      <c r="J104" s="790"/>
    </row>
    <row r="105" spans="2:10">
      <c r="B105" s="788" t="s">
        <v>14</v>
      </c>
      <c r="C105" s="668" t="s">
        <v>622</v>
      </c>
      <c r="D105" s="636" t="s">
        <v>521</v>
      </c>
      <c r="E105" s="306"/>
      <c r="F105" s="310" t="s">
        <v>1013</v>
      </c>
      <c r="G105" s="310" t="s">
        <v>732</v>
      </c>
      <c r="H105" s="306"/>
      <c r="I105" s="311"/>
      <c r="J105" s="792" t="s">
        <v>576</v>
      </c>
    </row>
    <row r="106" spans="2:10">
      <c r="B106" s="789"/>
      <c r="C106" s="789"/>
      <c r="D106" s="637"/>
      <c r="E106" s="307"/>
      <c r="F106" s="307">
        <v>1110</v>
      </c>
      <c r="G106" s="307">
        <v>880</v>
      </c>
      <c r="H106" s="307">
        <f t="shared" ref="H106" si="39">IF(SUM(F106:G106)&gt;0,AVERAGE(F106:G106),0)</f>
        <v>995</v>
      </c>
      <c r="I106" s="312">
        <f t="shared" ref="I106" si="40">+IF(AND(E106&gt;0,H106=0),E106,IF(AND(E106=0,H106&gt;0),H106,0))</f>
        <v>995</v>
      </c>
      <c r="J106" s="789"/>
    </row>
    <row r="107" spans="2:10">
      <c r="B107" s="790"/>
      <c r="C107" s="790"/>
      <c r="D107" s="638"/>
      <c r="E107" s="308"/>
      <c r="F107" s="309" t="s">
        <v>575</v>
      </c>
      <c r="G107" s="309" t="s">
        <v>575</v>
      </c>
      <c r="H107" s="308"/>
      <c r="I107" s="313"/>
      <c r="J107" s="790"/>
    </row>
    <row r="108" spans="2:10">
      <c r="B108" s="788" t="s">
        <v>14</v>
      </c>
      <c r="C108" s="668" t="s">
        <v>621</v>
      </c>
      <c r="D108" s="636" t="s">
        <v>521</v>
      </c>
      <c r="E108" s="306"/>
      <c r="F108" s="310" t="s">
        <v>1010</v>
      </c>
      <c r="G108" s="310" t="s">
        <v>732</v>
      </c>
      <c r="H108" s="306"/>
      <c r="I108" s="311"/>
      <c r="J108" s="792" t="s">
        <v>576</v>
      </c>
    </row>
    <row r="109" spans="2:10">
      <c r="B109" s="789"/>
      <c r="C109" s="789"/>
      <c r="D109" s="637"/>
      <c r="E109" s="307"/>
      <c r="F109" s="307">
        <v>1030</v>
      </c>
      <c r="G109" s="307">
        <v>870</v>
      </c>
      <c r="H109" s="307">
        <f t="shared" ref="H109" si="41">IF(SUM(F109:G109)&gt;0,AVERAGE(F109:G109),0)</f>
        <v>950</v>
      </c>
      <c r="I109" s="312">
        <f t="shared" ref="I109" si="42">+IF(AND(E109&gt;0,H109=0),E109,IF(AND(E109=0,H109&gt;0),H109,0))</f>
        <v>950</v>
      </c>
      <c r="J109" s="789"/>
    </row>
    <row r="110" spans="2:10">
      <c r="B110" s="790"/>
      <c r="C110" s="790"/>
      <c r="D110" s="638"/>
      <c r="E110" s="308"/>
      <c r="F110" s="309" t="s">
        <v>575</v>
      </c>
      <c r="G110" s="309" t="s">
        <v>575</v>
      </c>
      <c r="H110" s="308"/>
      <c r="I110" s="313"/>
      <c r="J110" s="790"/>
    </row>
    <row r="111" spans="2:10">
      <c r="B111" s="788" t="s">
        <v>14</v>
      </c>
      <c r="C111" s="668" t="s">
        <v>623</v>
      </c>
      <c r="D111" s="636" t="s">
        <v>521</v>
      </c>
      <c r="E111" s="306"/>
      <c r="F111" s="310" t="s">
        <v>1010</v>
      </c>
      <c r="G111" s="310" t="s">
        <v>732</v>
      </c>
      <c r="H111" s="306"/>
      <c r="I111" s="311"/>
      <c r="J111" s="792" t="s">
        <v>576</v>
      </c>
    </row>
    <row r="112" spans="2:10">
      <c r="B112" s="789"/>
      <c r="C112" s="789"/>
      <c r="D112" s="637"/>
      <c r="E112" s="307"/>
      <c r="F112" s="307">
        <v>980</v>
      </c>
      <c r="G112" s="307">
        <v>840</v>
      </c>
      <c r="H112" s="307">
        <f t="shared" ref="H112" si="43">IF(SUM(F112:G112)&gt;0,AVERAGE(F112:G112),0)</f>
        <v>910</v>
      </c>
      <c r="I112" s="312">
        <f t="shared" ref="I112" si="44">+IF(AND(E112&gt;0,H112=0),E112,IF(AND(E112=0,H112&gt;0),H112,0))</f>
        <v>910</v>
      </c>
      <c r="J112" s="789"/>
    </row>
    <row r="113" spans="2:10">
      <c r="B113" s="790"/>
      <c r="C113" s="790"/>
      <c r="D113" s="638"/>
      <c r="E113" s="308"/>
      <c r="F113" s="309" t="s">
        <v>575</v>
      </c>
      <c r="G113" s="309" t="s">
        <v>575</v>
      </c>
      <c r="H113" s="308"/>
      <c r="I113" s="313"/>
      <c r="J113" s="790"/>
    </row>
    <row r="114" spans="2:10">
      <c r="B114" s="318"/>
      <c r="C114" s="318"/>
      <c r="D114" s="319"/>
      <c r="E114" s="307"/>
      <c r="F114" s="321"/>
      <c r="G114" s="321"/>
      <c r="H114" s="307"/>
      <c r="I114" s="312"/>
      <c r="J114" s="318"/>
    </row>
    <row r="115" spans="2:10">
      <c r="B115" s="318"/>
      <c r="C115" s="318"/>
      <c r="D115" s="319"/>
      <c r="E115" s="307"/>
      <c r="F115" s="321"/>
      <c r="G115" s="321"/>
      <c r="H115" s="307"/>
      <c r="I115" s="312"/>
      <c r="J115" s="318"/>
    </row>
    <row r="116" spans="2:10">
      <c r="B116" s="318"/>
      <c r="C116" s="318"/>
      <c r="D116" s="319"/>
      <c r="E116" s="307"/>
      <c r="F116" s="321"/>
      <c r="G116" s="321"/>
      <c r="H116" s="307"/>
      <c r="I116" s="312"/>
      <c r="J116" s="318"/>
    </row>
    <row r="117" spans="2:10">
      <c r="B117" s="788" t="s">
        <v>581</v>
      </c>
      <c r="C117" s="668" t="s">
        <v>728</v>
      </c>
      <c r="D117" s="776" t="s">
        <v>582</v>
      </c>
      <c r="E117" s="306"/>
      <c r="F117" s="310" t="s">
        <v>1014</v>
      </c>
      <c r="G117" s="310" t="s">
        <v>726</v>
      </c>
      <c r="H117" s="306"/>
      <c r="I117" s="311"/>
      <c r="J117" s="788"/>
    </row>
    <row r="118" spans="2:10">
      <c r="B118" s="785"/>
      <c r="C118" s="785"/>
      <c r="D118" s="786"/>
      <c r="E118" s="307"/>
      <c r="F118" s="307">
        <v>157</v>
      </c>
      <c r="G118" s="307">
        <v>167</v>
      </c>
      <c r="H118" s="307">
        <f t="shared" ref="H118" si="45">IF(SUM(F118:G118)&gt;0,AVERAGE(F118:G118),0)</f>
        <v>162</v>
      </c>
      <c r="I118" s="312">
        <f t="shared" ref="I118" si="46">+IF(AND(E118&gt;0,H118=0),E118,IF(AND(E118=0,H118&gt;0),H118,0))</f>
        <v>162</v>
      </c>
      <c r="J118" s="789"/>
    </row>
    <row r="119" spans="2:10">
      <c r="B119" s="664"/>
      <c r="C119" s="664"/>
      <c r="D119" s="787"/>
      <c r="E119" s="308"/>
      <c r="F119" s="309" t="s">
        <v>575</v>
      </c>
      <c r="G119" s="309" t="s">
        <v>575</v>
      </c>
      <c r="H119" s="308"/>
      <c r="I119" s="313"/>
      <c r="J119" s="790"/>
    </row>
    <row r="120" spans="2:10" ht="18.75" customHeight="1">
      <c r="B120" s="788" t="s">
        <v>584</v>
      </c>
      <c r="C120" s="668" t="s">
        <v>729</v>
      </c>
      <c r="D120" s="776" t="s">
        <v>582</v>
      </c>
      <c r="E120" s="306"/>
      <c r="F120" s="310" t="s">
        <v>1014</v>
      </c>
      <c r="G120" s="310" t="s">
        <v>726</v>
      </c>
      <c r="H120" s="306"/>
      <c r="I120" s="311"/>
      <c r="J120" s="788"/>
    </row>
    <row r="121" spans="2:10">
      <c r="B121" s="785"/>
      <c r="C121" s="785"/>
      <c r="D121" s="786"/>
      <c r="E121" s="307"/>
      <c r="F121" s="307">
        <v>213</v>
      </c>
      <c r="G121" s="307">
        <v>226</v>
      </c>
      <c r="H121" s="307">
        <f t="shared" ref="H121" si="47">IF(SUM(F121:G121)&gt;0,AVERAGE(F121:G121),0)</f>
        <v>219.5</v>
      </c>
      <c r="I121" s="312">
        <f t="shared" ref="I121" si="48">+IF(AND(E121&gt;0,H121=0),E121,IF(AND(E121=0,H121&gt;0),H121,0))</f>
        <v>219.5</v>
      </c>
      <c r="J121" s="789"/>
    </row>
    <row r="122" spans="2:10">
      <c r="B122" s="664"/>
      <c r="C122" s="664"/>
      <c r="D122" s="787"/>
      <c r="E122" s="308"/>
      <c r="F122" s="309" t="s">
        <v>575</v>
      </c>
      <c r="G122" s="309" t="s">
        <v>575</v>
      </c>
      <c r="H122" s="308"/>
      <c r="I122" s="313"/>
      <c r="J122" s="790"/>
    </row>
    <row r="123" spans="2:10">
      <c r="B123" s="788" t="s">
        <v>581</v>
      </c>
      <c r="C123" s="668" t="s">
        <v>730</v>
      </c>
      <c r="D123" s="776" t="s">
        <v>582</v>
      </c>
      <c r="E123" s="306"/>
      <c r="F123" s="310" t="s">
        <v>1014</v>
      </c>
      <c r="G123" s="310" t="s">
        <v>1015</v>
      </c>
      <c r="H123" s="306"/>
      <c r="I123" s="311"/>
      <c r="J123" s="788"/>
    </row>
    <row r="124" spans="2:10">
      <c r="B124" s="785"/>
      <c r="C124" s="785"/>
      <c r="D124" s="786"/>
      <c r="E124" s="307"/>
      <c r="F124" s="307">
        <v>220</v>
      </c>
      <c r="G124" s="307">
        <v>235</v>
      </c>
      <c r="H124" s="307">
        <f t="shared" ref="H124" si="49">IF(SUM(F124:G124)&gt;0,AVERAGE(F124:G124),0)</f>
        <v>227.5</v>
      </c>
      <c r="I124" s="312">
        <f t="shared" ref="I124" si="50">+IF(AND(E124&gt;0,H124=0),E124,IF(AND(E124=0,H124&gt;0),H124,0))</f>
        <v>227.5</v>
      </c>
      <c r="J124" s="789"/>
    </row>
    <row r="125" spans="2:10">
      <c r="B125" s="664"/>
      <c r="C125" s="664"/>
      <c r="D125" s="787"/>
      <c r="E125" s="308"/>
      <c r="F125" s="309" t="s">
        <v>575</v>
      </c>
      <c r="G125" s="309" t="s">
        <v>575</v>
      </c>
      <c r="H125" s="308"/>
      <c r="I125" s="313"/>
      <c r="J125" s="790"/>
    </row>
    <row r="126" spans="2:10" ht="18.75" customHeight="1">
      <c r="B126" s="788" t="s">
        <v>584</v>
      </c>
      <c r="C126" s="668" t="s">
        <v>731</v>
      </c>
      <c r="D126" s="776" t="s">
        <v>582</v>
      </c>
      <c r="E126" s="306"/>
      <c r="F126" s="310" t="s">
        <v>727</v>
      </c>
      <c r="G126" s="310" t="s">
        <v>726</v>
      </c>
      <c r="H126" s="306"/>
      <c r="I126" s="311"/>
      <c r="J126" s="788"/>
    </row>
    <row r="127" spans="2:10">
      <c r="B127" s="785"/>
      <c r="C127" s="785"/>
      <c r="D127" s="786"/>
      <c r="E127" s="307"/>
      <c r="F127" s="307">
        <v>307</v>
      </c>
      <c r="G127" s="307">
        <v>326</v>
      </c>
      <c r="H127" s="307">
        <f t="shared" ref="H127" si="51">IF(SUM(F127:G127)&gt;0,AVERAGE(F127:G127),0)</f>
        <v>316.5</v>
      </c>
      <c r="I127" s="312">
        <f t="shared" ref="I127" si="52">+IF(AND(E127&gt;0,H127=0),E127,IF(AND(E127=0,H127&gt;0),H127,0))</f>
        <v>316.5</v>
      </c>
      <c r="J127" s="789"/>
    </row>
    <row r="128" spans="2:10">
      <c r="B128" s="664"/>
      <c r="C128" s="664"/>
      <c r="D128" s="787"/>
      <c r="E128" s="308"/>
      <c r="F128" s="309" t="s">
        <v>575</v>
      </c>
      <c r="G128" s="309" t="s">
        <v>575</v>
      </c>
      <c r="H128" s="308"/>
      <c r="I128" s="313"/>
      <c r="J128" s="790"/>
    </row>
    <row r="129" spans="2:10">
      <c r="B129" s="788" t="s">
        <v>581</v>
      </c>
      <c r="C129" s="668" t="s">
        <v>720</v>
      </c>
      <c r="D129" s="776" t="s">
        <v>582</v>
      </c>
      <c r="E129" s="306"/>
      <c r="F129" s="310" t="s">
        <v>1016</v>
      </c>
      <c r="G129" s="310" t="s">
        <v>718</v>
      </c>
      <c r="H129" s="306"/>
      <c r="I129" s="311"/>
      <c r="J129" s="725"/>
    </row>
    <row r="130" spans="2:10">
      <c r="B130" s="785"/>
      <c r="C130" s="785"/>
      <c r="D130" s="786"/>
      <c r="E130" s="307"/>
      <c r="F130" s="307">
        <v>211</v>
      </c>
      <c r="G130" s="307">
        <v>232</v>
      </c>
      <c r="H130" s="307">
        <f t="shared" ref="H130" si="53">IF(SUM(F130:G130)&gt;0,AVERAGE(F130:G130),0)</f>
        <v>221.5</v>
      </c>
      <c r="I130" s="312">
        <f t="shared" ref="I130" si="54">+IF(AND(E130&gt;0,H130=0),E130,IF(AND(E130=0,H130&gt;0),H130,0))</f>
        <v>221.5</v>
      </c>
      <c r="J130" s="791"/>
    </row>
    <row r="131" spans="2:10">
      <c r="B131" s="664"/>
      <c r="C131" s="664"/>
      <c r="D131" s="787"/>
      <c r="E131" s="308"/>
      <c r="F131" s="309" t="s">
        <v>575</v>
      </c>
      <c r="G131" s="309" t="s">
        <v>575</v>
      </c>
      <c r="H131" s="308"/>
      <c r="I131" s="313"/>
      <c r="J131" s="723"/>
    </row>
    <row r="132" spans="2:10">
      <c r="B132" s="663" t="s">
        <v>584</v>
      </c>
      <c r="C132" s="668" t="s">
        <v>721</v>
      </c>
      <c r="D132" s="776" t="s">
        <v>582</v>
      </c>
      <c r="E132" s="306"/>
      <c r="F132" s="310" t="s">
        <v>1016</v>
      </c>
      <c r="G132" s="310" t="s">
        <v>1017</v>
      </c>
      <c r="H132" s="306"/>
      <c r="I132" s="311"/>
      <c r="J132" s="788"/>
    </row>
    <row r="133" spans="2:10">
      <c r="B133" s="785"/>
      <c r="C133" s="785"/>
      <c r="D133" s="786"/>
      <c r="E133" s="307"/>
      <c r="F133" s="307">
        <v>299</v>
      </c>
      <c r="G133" s="307">
        <v>320</v>
      </c>
      <c r="H133" s="307">
        <f t="shared" ref="H133" si="55">IF(SUM(F133:G133)&gt;0,AVERAGE(F133:G133),0)</f>
        <v>309.5</v>
      </c>
      <c r="I133" s="312">
        <f t="shared" ref="I133" si="56">+IF(AND(E133&gt;0,H133=0),E133,IF(AND(E133=0,H133&gt;0),H133,0))</f>
        <v>309.5</v>
      </c>
      <c r="J133" s="789"/>
    </row>
    <row r="134" spans="2:10">
      <c r="B134" s="664"/>
      <c r="C134" s="664"/>
      <c r="D134" s="787"/>
      <c r="E134" s="308"/>
      <c r="F134" s="309" t="s">
        <v>575</v>
      </c>
      <c r="G134" s="309" t="s">
        <v>575</v>
      </c>
      <c r="H134" s="308"/>
      <c r="I134" s="313"/>
      <c r="J134" s="790"/>
    </row>
    <row r="135" spans="2:10">
      <c r="B135" s="663" t="s">
        <v>581</v>
      </c>
      <c r="C135" s="668" t="s">
        <v>722</v>
      </c>
      <c r="D135" s="776" t="s">
        <v>582</v>
      </c>
      <c r="E135" s="306"/>
      <c r="F135" s="310" t="s">
        <v>1016</v>
      </c>
      <c r="G135" s="310" t="s">
        <v>718</v>
      </c>
      <c r="H135" s="306"/>
      <c r="I135" s="311"/>
      <c r="J135" s="788"/>
    </row>
    <row r="136" spans="2:10">
      <c r="B136" s="785"/>
      <c r="C136" s="785"/>
      <c r="D136" s="786"/>
      <c r="E136" s="307"/>
      <c r="F136" s="307">
        <v>282</v>
      </c>
      <c r="G136" s="307">
        <v>309</v>
      </c>
      <c r="H136" s="307">
        <f t="shared" ref="H136" si="57">IF(SUM(F136:G136)&gt;0,AVERAGE(F136:G136),0)</f>
        <v>295.5</v>
      </c>
      <c r="I136" s="312">
        <f t="shared" ref="I136" si="58">+IF(AND(E136&gt;0,H136=0),E136,IF(AND(E136=0,H136&gt;0),H136,0))</f>
        <v>295.5</v>
      </c>
      <c r="J136" s="789"/>
    </row>
    <row r="137" spans="2:10">
      <c r="B137" s="664"/>
      <c r="C137" s="664"/>
      <c r="D137" s="787"/>
      <c r="E137" s="308"/>
      <c r="F137" s="309" t="s">
        <v>575</v>
      </c>
      <c r="G137" s="309" t="s">
        <v>575</v>
      </c>
      <c r="H137" s="308"/>
      <c r="I137" s="313"/>
      <c r="J137" s="790"/>
    </row>
    <row r="138" spans="2:10">
      <c r="B138" s="663" t="s">
        <v>584</v>
      </c>
      <c r="C138" s="668" t="s">
        <v>723</v>
      </c>
      <c r="D138" s="776" t="s">
        <v>582</v>
      </c>
      <c r="E138" s="306"/>
      <c r="F138" s="310" t="s">
        <v>1016</v>
      </c>
      <c r="G138" s="310" t="s">
        <v>1017</v>
      </c>
      <c r="H138" s="306"/>
      <c r="I138" s="311"/>
      <c r="J138" s="788"/>
    </row>
    <row r="139" spans="2:10">
      <c r="B139" s="785"/>
      <c r="C139" s="785"/>
      <c r="D139" s="786"/>
      <c r="E139" s="307"/>
      <c r="F139" s="307">
        <v>399</v>
      </c>
      <c r="G139" s="307">
        <v>432</v>
      </c>
      <c r="H139" s="307">
        <f t="shared" ref="H139" si="59">IF(SUM(F139:G139)&gt;0,AVERAGE(F139:G139),0)</f>
        <v>415.5</v>
      </c>
      <c r="I139" s="312">
        <f t="shared" ref="I139" si="60">+IF(AND(E139&gt;0,H139=0),E139,IF(AND(E139=0,H139&gt;0),H139,0))</f>
        <v>415.5</v>
      </c>
      <c r="J139" s="789"/>
    </row>
    <row r="140" spans="2:10">
      <c r="B140" s="664"/>
      <c r="C140" s="664"/>
      <c r="D140" s="787"/>
      <c r="E140" s="308"/>
      <c r="F140" s="309" t="s">
        <v>575</v>
      </c>
      <c r="G140" s="309" t="s">
        <v>575</v>
      </c>
      <c r="H140" s="308"/>
      <c r="I140" s="313"/>
      <c r="J140" s="790"/>
    </row>
    <row r="141" spans="2:10">
      <c r="B141" s="663" t="s">
        <v>581</v>
      </c>
      <c r="C141" s="668" t="s">
        <v>724</v>
      </c>
      <c r="D141" s="776" t="s">
        <v>582</v>
      </c>
      <c r="E141" s="306"/>
      <c r="F141" s="310" t="s">
        <v>719</v>
      </c>
      <c r="G141" s="310" t="s">
        <v>599</v>
      </c>
      <c r="H141" s="306"/>
      <c r="I141" s="311"/>
      <c r="J141" s="788"/>
    </row>
    <row r="142" spans="2:10">
      <c r="B142" s="785"/>
      <c r="C142" s="785"/>
      <c r="D142" s="786"/>
      <c r="E142" s="307"/>
      <c r="F142" s="307">
        <v>1267</v>
      </c>
      <c r="G142" s="307"/>
      <c r="H142" s="307">
        <f t="shared" ref="H142" si="61">IF(SUM(F142:G142)&gt;0,AVERAGE(F142:G142),0)</f>
        <v>1267</v>
      </c>
      <c r="I142" s="312">
        <f t="shared" ref="I142" si="62">+IF(AND(E142&gt;0,H142=0),E142,IF(AND(E142=0,H142&gt;0),H142,0))</f>
        <v>1267</v>
      </c>
      <c r="J142" s="789"/>
    </row>
    <row r="143" spans="2:10">
      <c r="B143" s="664"/>
      <c r="C143" s="664"/>
      <c r="D143" s="787"/>
      <c r="E143" s="308"/>
      <c r="F143" s="309" t="s">
        <v>575</v>
      </c>
      <c r="G143" s="309"/>
      <c r="H143" s="308"/>
      <c r="I143" s="313"/>
      <c r="J143" s="790"/>
    </row>
    <row r="144" spans="2:10">
      <c r="B144" s="663" t="s">
        <v>584</v>
      </c>
      <c r="C144" s="668" t="s">
        <v>725</v>
      </c>
      <c r="D144" s="776" t="s">
        <v>582</v>
      </c>
      <c r="E144" s="306"/>
      <c r="F144" s="310" t="s">
        <v>1016</v>
      </c>
      <c r="G144" s="310" t="s">
        <v>1017</v>
      </c>
      <c r="H144" s="306"/>
      <c r="I144" s="311"/>
      <c r="J144" s="788"/>
    </row>
    <row r="145" spans="2:10">
      <c r="B145" s="785"/>
      <c r="C145" s="785"/>
      <c r="D145" s="786"/>
      <c r="E145" s="307"/>
      <c r="F145" s="307">
        <v>1825</v>
      </c>
      <c r="G145" s="307">
        <v>1776</v>
      </c>
      <c r="H145" s="307">
        <f t="shared" ref="H145" si="63">IF(SUM(F145:G145)&gt;0,AVERAGE(F145:G145),0)</f>
        <v>1800.5</v>
      </c>
      <c r="I145" s="312">
        <f t="shared" ref="I145" si="64">+IF(AND(E145&gt;0,H145=0),E145,IF(AND(E145=0,H145&gt;0),H145,0))</f>
        <v>1800.5</v>
      </c>
      <c r="J145" s="789"/>
    </row>
    <row r="146" spans="2:10">
      <c r="B146" s="664"/>
      <c r="C146" s="664"/>
      <c r="D146" s="787"/>
      <c r="E146" s="308"/>
      <c r="F146" s="309" t="s">
        <v>575</v>
      </c>
      <c r="G146" s="309" t="s">
        <v>575</v>
      </c>
      <c r="H146" s="308"/>
      <c r="I146" s="313"/>
      <c r="J146" s="790"/>
    </row>
    <row r="147" spans="2:10">
      <c r="B147" s="788"/>
      <c r="C147" s="668"/>
      <c r="D147" s="636"/>
      <c r="E147" s="306"/>
      <c r="F147" s="310"/>
      <c r="G147" s="310"/>
      <c r="H147" s="306"/>
      <c r="I147" s="311"/>
      <c r="J147" s="788"/>
    </row>
    <row r="148" spans="2:10">
      <c r="B148" s="789"/>
      <c r="C148" s="789"/>
      <c r="D148" s="637"/>
      <c r="E148" s="307"/>
      <c r="F148" s="307"/>
      <c r="G148" s="307"/>
      <c r="H148" s="307">
        <f t="shared" ref="H148" si="65">IF(SUM(F148:G148)&gt;0,AVERAGE(F148:G148),0)</f>
        <v>0</v>
      </c>
      <c r="I148" s="312">
        <f t="shared" ref="I148" si="66">+IF(AND(E148&gt;0,H148=0),E148,IF(AND(E148=0,H148&gt;0),H148,0))</f>
        <v>0</v>
      </c>
      <c r="J148" s="789"/>
    </row>
    <row r="149" spans="2:10">
      <c r="B149" s="790"/>
      <c r="C149" s="790"/>
      <c r="D149" s="638"/>
      <c r="E149" s="308"/>
      <c r="F149" s="309"/>
      <c r="G149" s="309"/>
      <c r="H149" s="308"/>
      <c r="I149" s="313"/>
      <c r="J149" s="790"/>
    </row>
    <row r="150" spans="2:10">
      <c r="B150" s="788" t="s">
        <v>583</v>
      </c>
      <c r="C150" s="668" t="s">
        <v>593</v>
      </c>
      <c r="D150" s="636" t="s">
        <v>582</v>
      </c>
      <c r="E150" s="306"/>
      <c r="F150" s="310" t="s">
        <v>594</v>
      </c>
      <c r="G150" s="310" t="s">
        <v>717</v>
      </c>
      <c r="H150" s="306"/>
      <c r="I150" s="311"/>
      <c r="J150" s="788"/>
    </row>
    <row r="151" spans="2:10">
      <c r="B151" s="789"/>
      <c r="C151" s="789"/>
      <c r="D151" s="637"/>
      <c r="E151" s="307"/>
      <c r="F151" s="307">
        <v>342</v>
      </c>
      <c r="G151" s="307">
        <v>366</v>
      </c>
      <c r="H151" s="307">
        <f t="shared" ref="H151" si="67">IF(SUM(F151:G151)&gt;0,AVERAGE(F151:G151),0)</f>
        <v>354</v>
      </c>
      <c r="I151" s="312">
        <f t="shared" ref="I151" si="68">+IF(AND(E151&gt;0,H151=0),E151,IF(AND(E151=0,H151&gt;0),H151,0))</f>
        <v>354</v>
      </c>
      <c r="J151" s="789"/>
    </row>
    <row r="152" spans="2:10">
      <c r="B152" s="790"/>
      <c r="C152" s="790"/>
      <c r="D152" s="638"/>
      <c r="E152" s="308"/>
      <c r="F152" s="309" t="s">
        <v>575</v>
      </c>
      <c r="G152" s="309" t="s">
        <v>575</v>
      </c>
      <c r="H152" s="308"/>
      <c r="I152" s="313"/>
      <c r="J152" s="790"/>
    </row>
    <row r="153" spans="2:10">
      <c r="B153" s="788"/>
      <c r="C153" s="668"/>
      <c r="D153" s="636"/>
      <c r="E153" s="306"/>
      <c r="F153" s="310"/>
      <c r="G153" s="310"/>
      <c r="H153" s="306"/>
      <c r="I153" s="311"/>
      <c r="J153" s="788"/>
    </row>
    <row r="154" spans="2:10">
      <c r="B154" s="789"/>
      <c r="C154" s="789"/>
      <c r="D154" s="637"/>
      <c r="E154" s="307"/>
      <c r="F154" s="307"/>
      <c r="G154" s="307"/>
      <c r="H154" s="307">
        <f t="shared" ref="H154" si="69">IF(SUM(F154:G154)&gt;0,AVERAGE(F154:G154),0)</f>
        <v>0</v>
      </c>
      <c r="I154" s="312">
        <f t="shared" ref="I154" si="70">+IF(AND(E154&gt;0,H154=0),E154,IF(AND(E154=0,H154&gt;0),H154,0))</f>
        <v>0</v>
      </c>
      <c r="J154" s="789"/>
    </row>
    <row r="155" spans="2:10">
      <c r="B155" s="790"/>
      <c r="C155" s="790"/>
      <c r="D155" s="638"/>
      <c r="E155" s="308"/>
      <c r="F155" s="309"/>
      <c r="G155" s="309"/>
      <c r="H155" s="308"/>
      <c r="I155" s="313"/>
      <c r="J155" s="790"/>
    </row>
    <row r="156" spans="2:10">
      <c r="B156" s="788" t="s">
        <v>585</v>
      </c>
      <c r="C156" s="668" t="s">
        <v>713</v>
      </c>
      <c r="D156" s="776" t="s">
        <v>582</v>
      </c>
      <c r="E156" s="306"/>
      <c r="F156" s="310" t="s">
        <v>712</v>
      </c>
      <c r="G156" s="310" t="s">
        <v>1011</v>
      </c>
      <c r="H156" s="306"/>
      <c r="I156" s="311"/>
      <c r="J156" s="725"/>
    </row>
    <row r="157" spans="2:10">
      <c r="B157" s="785"/>
      <c r="C157" s="785"/>
      <c r="D157" s="786"/>
      <c r="E157" s="307"/>
      <c r="F157" s="307">
        <v>243</v>
      </c>
      <c r="G157" s="307">
        <v>234</v>
      </c>
      <c r="H157" s="307">
        <f t="shared" ref="H157" si="71">IF(SUM(F157:G157)&gt;0,AVERAGE(F157:G157),0)</f>
        <v>238.5</v>
      </c>
      <c r="I157" s="312">
        <f t="shared" ref="I157" si="72">+IF(AND(E157&gt;0,H157=0),E157,IF(AND(E157=0,H157&gt;0),H157,0))</f>
        <v>238.5</v>
      </c>
      <c r="J157" s="791"/>
    </row>
    <row r="158" spans="2:10">
      <c r="B158" s="664"/>
      <c r="C158" s="664"/>
      <c r="D158" s="787"/>
      <c r="E158" s="308"/>
      <c r="F158" s="309" t="s">
        <v>575</v>
      </c>
      <c r="G158" s="309" t="s">
        <v>595</v>
      </c>
      <c r="H158" s="308"/>
      <c r="I158" s="313"/>
      <c r="J158" s="723"/>
    </row>
    <row r="159" spans="2:10">
      <c r="B159" s="788" t="s">
        <v>585</v>
      </c>
      <c r="C159" s="668" t="s">
        <v>714</v>
      </c>
      <c r="D159" s="776" t="s">
        <v>586</v>
      </c>
      <c r="E159" s="306"/>
      <c r="F159" s="310" t="s">
        <v>1018</v>
      </c>
      <c r="G159" s="310" t="s">
        <v>1011</v>
      </c>
      <c r="H159" s="306"/>
      <c r="I159" s="311"/>
      <c r="J159" s="725"/>
    </row>
    <row r="160" spans="2:10">
      <c r="B160" s="785"/>
      <c r="C160" s="785"/>
      <c r="D160" s="786"/>
      <c r="E160" s="307"/>
      <c r="F160" s="307">
        <v>266</v>
      </c>
      <c r="G160" s="307">
        <v>256</v>
      </c>
      <c r="H160" s="307">
        <f t="shared" ref="H160" si="73">IF(SUM(F160:G160)&gt;0,AVERAGE(F160:G160),0)</f>
        <v>261</v>
      </c>
      <c r="I160" s="312">
        <f t="shared" ref="I160" si="74">+IF(AND(E160&gt;0,H160=0),E160,IF(AND(E160=0,H160&gt;0),H160,0))</f>
        <v>261</v>
      </c>
      <c r="J160" s="791"/>
    </row>
    <row r="161" spans="2:10">
      <c r="B161" s="664"/>
      <c r="C161" s="664"/>
      <c r="D161" s="787"/>
      <c r="E161" s="308"/>
      <c r="F161" s="309" t="s">
        <v>575</v>
      </c>
      <c r="G161" s="309" t="s">
        <v>595</v>
      </c>
      <c r="H161" s="308"/>
      <c r="I161" s="313"/>
      <c r="J161" s="723"/>
    </row>
    <row r="162" spans="2:10">
      <c r="B162" s="788" t="s">
        <v>585</v>
      </c>
      <c r="C162" s="668" t="s">
        <v>715</v>
      </c>
      <c r="D162" s="776" t="s">
        <v>582</v>
      </c>
      <c r="E162" s="306"/>
      <c r="F162" s="310" t="s">
        <v>1018</v>
      </c>
      <c r="G162" s="310" t="s">
        <v>1011</v>
      </c>
      <c r="H162" s="306"/>
      <c r="I162" s="311"/>
      <c r="J162" s="725"/>
    </row>
    <row r="163" spans="2:10">
      <c r="B163" s="785"/>
      <c r="C163" s="785"/>
      <c r="D163" s="786"/>
      <c r="E163" s="307"/>
      <c r="F163" s="307">
        <v>319</v>
      </c>
      <c r="G163" s="307">
        <v>307</v>
      </c>
      <c r="H163" s="307">
        <f t="shared" ref="H163" si="75">IF(SUM(F163:G163)&gt;0,AVERAGE(F163:G163),0)</f>
        <v>313</v>
      </c>
      <c r="I163" s="312">
        <f t="shared" ref="I163" si="76">+IF(AND(E163&gt;0,H163=0),E163,IF(AND(E163=0,H163&gt;0),H163,0))</f>
        <v>313</v>
      </c>
      <c r="J163" s="791"/>
    </row>
    <row r="164" spans="2:10">
      <c r="B164" s="664"/>
      <c r="C164" s="664"/>
      <c r="D164" s="787"/>
      <c r="E164" s="308"/>
      <c r="F164" s="309" t="s">
        <v>575</v>
      </c>
      <c r="G164" s="309" t="s">
        <v>595</v>
      </c>
      <c r="H164" s="308"/>
      <c r="I164" s="313"/>
      <c r="J164" s="723"/>
    </row>
    <row r="165" spans="2:10">
      <c r="B165" s="788" t="s">
        <v>585</v>
      </c>
      <c r="C165" s="668" t="s">
        <v>716</v>
      </c>
      <c r="D165" s="776" t="s">
        <v>586</v>
      </c>
      <c r="E165" s="306"/>
      <c r="F165" s="310" t="s">
        <v>712</v>
      </c>
      <c r="G165" s="310" t="s">
        <v>1019</v>
      </c>
      <c r="H165" s="306"/>
      <c r="I165" s="311"/>
      <c r="J165" s="725"/>
    </row>
    <row r="166" spans="2:10">
      <c r="B166" s="785"/>
      <c r="C166" s="785"/>
      <c r="D166" s="786"/>
      <c r="E166" s="307"/>
      <c r="F166" s="307">
        <v>386</v>
      </c>
      <c r="G166" s="307">
        <v>372</v>
      </c>
      <c r="H166" s="307">
        <f t="shared" ref="H166" si="77">IF(SUM(F166:G166)&gt;0,AVERAGE(F166:G166),0)</f>
        <v>379</v>
      </c>
      <c r="I166" s="312">
        <f t="shared" ref="I166" si="78">+IF(AND(E166&gt;0,H166=0),E166,IF(AND(E166=0,H166&gt;0),H166,0))</f>
        <v>379</v>
      </c>
      <c r="J166" s="791"/>
    </row>
    <row r="167" spans="2:10">
      <c r="B167" s="664"/>
      <c r="C167" s="664"/>
      <c r="D167" s="787"/>
      <c r="E167" s="308"/>
      <c r="F167" s="309" t="s">
        <v>575</v>
      </c>
      <c r="G167" s="309" t="s">
        <v>595</v>
      </c>
      <c r="H167" s="308"/>
      <c r="I167" s="313"/>
      <c r="J167" s="723"/>
    </row>
    <row r="168" spans="2:10">
      <c r="B168" s="788" t="s">
        <v>585</v>
      </c>
      <c r="C168" s="668" t="s">
        <v>709</v>
      </c>
      <c r="D168" s="776" t="s">
        <v>582</v>
      </c>
      <c r="E168" s="306"/>
      <c r="F168" s="310" t="s">
        <v>1020</v>
      </c>
      <c r="G168" s="310" t="s">
        <v>707</v>
      </c>
      <c r="H168" s="306"/>
      <c r="I168" s="311"/>
      <c r="J168" s="725"/>
    </row>
    <row r="169" spans="2:10">
      <c r="B169" s="785"/>
      <c r="C169" s="785"/>
      <c r="D169" s="786"/>
      <c r="E169" s="307"/>
      <c r="F169" s="307">
        <v>412</v>
      </c>
      <c r="G169" s="307">
        <v>414</v>
      </c>
      <c r="H169" s="307">
        <f t="shared" ref="H169" si="79">IF(SUM(F169:G169)&gt;0,AVERAGE(F169:G169),0)</f>
        <v>413</v>
      </c>
      <c r="I169" s="312">
        <f t="shared" ref="I169" si="80">+IF(AND(E169&gt;0,H169=0),E169,IF(AND(E169=0,H169&gt;0),H169,0))</f>
        <v>413</v>
      </c>
      <c r="J169" s="791"/>
    </row>
    <row r="170" spans="2:10">
      <c r="B170" s="664"/>
      <c r="C170" s="664"/>
      <c r="D170" s="787"/>
      <c r="E170" s="308"/>
      <c r="F170" s="309" t="s">
        <v>575</v>
      </c>
      <c r="G170" s="309" t="s">
        <v>575</v>
      </c>
      <c r="H170" s="308"/>
      <c r="I170" s="313"/>
      <c r="J170" s="723"/>
    </row>
    <row r="171" spans="2:10">
      <c r="B171" s="663" t="s">
        <v>585</v>
      </c>
      <c r="C171" s="668" t="s">
        <v>710</v>
      </c>
      <c r="D171" s="776" t="s">
        <v>586</v>
      </c>
      <c r="E171" s="306"/>
      <c r="F171" s="310" t="s">
        <v>1020</v>
      </c>
      <c r="G171" s="310" t="s">
        <v>1021</v>
      </c>
      <c r="H171" s="306"/>
      <c r="I171" s="311"/>
      <c r="J171" s="788"/>
    </row>
    <row r="172" spans="2:10">
      <c r="B172" s="785"/>
      <c r="C172" s="785"/>
      <c r="D172" s="786"/>
      <c r="E172" s="307"/>
      <c r="F172" s="307">
        <v>1526</v>
      </c>
      <c r="G172" s="307">
        <v>1510</v>
      </c>
      <c r="H172" s="307">
        <f t="shared" ref="H172" si="81">IF(SUM(F172:G172)&gt;0,AVERAGE(F172:G172),0)</f>
        <v>1518</v>
      </c>
      <c r="I172" s="312">
        <f t="shared" ref="I172" si="82">+IF(AND(E172&gt;0,H172=0),E172,IF(AND(E172=0,H172&gt;0),H172,0))</f>
        <v>1518</v>
      </c>
      <c r="J172" s="789"/>
    </row>
    <row r="173" spans="2:10">
      <c r="B173" s="664"/>
      <c r="C173" s="664"/>
      <c r="D173" s="787"/>
      <c r="E173" s="308"/>
      <c r="F173" s="309" t="s">
        <v>575</v>
      </c>
      <c r="G173" s="309" t="s">
        <v>575</v>
      </c>
      <c r="H173" s="308"/>
      <c r="I173" s="313"/>
      <c r="J173" s="790"/>
    </row>
    <row r="174" spans="2:10">
      <c r="B174" s="663" t="s">
        <v>585</v>
      </c>
      <c r="C174" s="668" t="s">
        <v>711</v>
      </c>
      <c r="D174" s="776" t="s">
        <v>586</v>
      </c>
      <c r="E174" s="306"/>
      <c r="F174" s="310" t="s">
        <v>1020</v>
      </c>
      <c r="G174" s="310" t="s">
        <v>707</v>
      </c>
      <c r="H174" s="306"/>
      <c r="I174" s="311"/>
      <c r="J174" s="788"/>
    </row>
    <row r="175" spans="2:10">
      <c r="B175" s="785"/>
      <c r="C175" s="785"/>
      <c r="D175" s="786"/>
      <c r="E175" s="307"/>
      <c r="F175" s="307">
        <v>2150</v>
      </c>
      <c r="G175" s="307">
        <v>2140</v>
      </c>
      <c r="H175" s="307">
        <f t="shared" ref="H175" si="83">IF(SUM(F175:G175)&gt;0,AVERAGE(F175:G175),0)</f>
        <v>2145</v>
      </c>
      <c r="I175" s="312">
        <f t="shared" ref="I175" si="84">+IF(AND(E175&gt;0,H175=0),E175,IF(AND(E175=0,H175&gt;0),H175,0))</f>
        <v>2145</v>
      </c>
      <c r="J175" s="789"/>
    </row>
    <row r="176" spans="2:10">
      <c r="B176" s="664"/>
      <c r="C176" s="664"/>
      <c r="D176" s="787"/>
      <c r="E176" s="308"/>
      <c r="F176" s="309" t="s">
        <v>575</v>
      </c>
      <c r="G176" s="309" t="s">
        <v>575</v>
      </c>
      <c r="H176" s="308"/>
      <c r="I176" s="313"/>
      <c r="J176" s="790"/>
    </row>
    <row r="177" spans="2:10">
      <c r="B177" s="788" t="s">
        <v>250</v>
      </c>
      <c r="C177" s="668" t="s">
        <v>708</v>
      </c>
      <c r="D177" s="636" t="s">
        <v>586</v>
      </c>
      <c r="E177" s="306"/>
      <c r="F177" s="310" t="s">
        <v>1020</v>
      </c>
      <c r="G177" s="310" t="s">
        <v>707</v>
      </c>
      <c r="H177" s="306"/>
      <c r="I177" s="311"/>
      <c r="J177" s="788"/>
    </row>
    <row r="178" spans="2:10">
      <c r="B178" s="789"/>
      <c r="C178" s="789"/>
      <c r="D178" s="637"/>
      <c r="E178" s="307"/>
      <c r="F178" s="307">
        <v>2736</v>
      </c>
      <c r="G178" s="307">
        <v>2720</v>
      </c>
      <c r="H178" s="307">
        <f t="shared" ref="H178" si="85">IF(SUM(F178:G178)&gt;0,AVERAGE(F178:G178),0)</f>
        <v>2728</v>
      </c>
      <c r="I178" s="312">
        <f t="shared" ref="I178" si="86">+IF(AND(E178&gt;0,H178=0),E178,IF(AND(E178=0,H178&gt;0),H178,0))</f>
        <v>2728</v>
      </c>
      <c r="J178" s="789"/>
    </row>
    <row r="179" spans="2:10">
      <c r="B179" s="790"/>
      <c r="C179" s="790"/>
      <c r="D179" s="638"/>
      <c r="E179" s="308"/>
      <c r="F179" s="309" t="s">
        <v>575</v>
      </c>
      <c r="G179" s="309" t="s">
        <v>575</v>
      </c>
      <c r="H179" s="308"/>
      <c r="I179" s="313"/>
      <c r="J179" s="790"/>
    </row>
    <row r="180" spans="2:10">
      <c r="B180" s="788" t="s">
        <v>585</v>
      </c>
      <c r="C180" s="668" t="s">
        <v>596</v>
      </c>
      <c r="D180" s="636" t="s">
        <v>582</v>
      </c>
      <c r="E180" s="306"/>
      <c r="F180" s="310" t="s">
        <v>704</v>
      </c>
      <c r="G180" s="310" t="s">
        <v>1019</v>
      </c>
      <c r="H180" s="306"/>
      <c r="I180" s="311"/>
      <c r="J180" s="788"/>
    </row>
    <row r="181" spans="2:10">
      <c r="B181" s="789"/>
      <c r="C181" s="789"/>
      <c r="D181" s="637"/>
      <c r="E181" s="307"/>
      <c r="F181" s="307">
        <v>94</v>
      </c>
      <c r="G181" s="307">
        <v>94</v>
      </c>
      <c r="H181" s="307">
        <f t="shared" ref="H181" si="87">IF(SUM(F181:G181)&gt;0,AVERAGE(F181:G181),0)</f>
        <v>94</v>
      </c>
      <c r="I181" s="312">
        <f t="shared" ref="I181" si="88">+IF(AND(E181&gt;0,H181=0),E181,IF(AND(E181=0,H181&gt;0),H181,0))</f>
        <v>94</v>
      </c>
      <c r="J181" s="789"/>
    </row>
    <row r="182" spans="2:10">
      <c r="B182" s="790"/>
      <c r="C182" s="790"/>
      <c r="D182" s="638"/>
      <c r="E182" s="308"/>
      <c r="F182" s="309" t="s">
        <v>575</v>
      </c>
      <c r="G182" s="309" t="s">
        <v>595</v>
      </c>
      <c r="H182" s="308"/>
      <c r="I182" s="313"/>
      <c r="J182" s="790"/>
    </row>
    <row r="183" spans="2:10">
      <c r="B183" s="788" t="s">
        <v>585</v>
      </c>
      <c r="C183" s="668" t="s">
        <v>597</v>
      </c>
      <c r="D183" s="636" t="s">
        <v>582</v>
      </c>
      <c r="E183" s="306"/>
      <c r="F183" s="310" t="s">
        <v>1022</v>
      </c>
      <c r="G183" s="310" t="s">
        <v>599</v>
      </c>
      <c r="H183" s="306"/>
      <c r="I183" s="311"/>
      <c r="J183" s="788"/>
    </row>
    <row r="184" spans="2:10">
      <c r="B184" s="789"/>
      <c r="C184" s="789"/>
      <c r="D184" s="637"/>
      <c r="E184" s="307"/>
      <c r="F184" s="307">
        <v>512</v>
      </c>
      <c r="G184" s="307"/>
      <c r="H184" s="307">
        <f t="shared" ref="H184" si="89">IF(SUM(F184:G184)&gt;0,AVERAGE(F184:G184),0)</f>
        <v>512</v>
      </c>
      <c r="I184" s="312">
        <f t="shared" ref="I184" si="90">+IF(AND(E184&gt;0,H184=0),E184,IF(AND(E184=0,H184&gt;0),H184,0))</f>
        <v>512</v>
      </c>
      <c r="J184" s="789"/>
    </row>
    <row r="185" spans="2:10">
      <c r="B185" s="790"/>
      <c r="C185" s="790"/>
      <c r="D185" s="638"/>
      <c r="E185" s="308"/>
      <c r="F185" s="309" t="s">
        <v>598</v>
      </c>
      <c r="G185" s="309"/>
      <c r="H185" s="308"/>
      <c r="I185" s="313"/>
      <c r="J185" s="790"/>
    </row>
    <row r="186" spans="2:10">
      <c r="B186" s="788" t="s">
        <v>585</v>
      </c>
      <c r="C186" s="668" t="s">
        <v>706</v>
      </c>
      <c r="D186" s="636" t="s">
        <v>582</v>
      </c>
      <c r="E186" s="306"/>
      <c r="F186" s="310" t="s">
        <v>1022</v>
      </c>
      <c r="G186" s="310" t="s">
        <v>599</v>
      </c>
      <c r="H186" s="306"/>
      <c r="I186" s="311"/>
      <c r="J186" s="788"/>
    </row>
    <row r="187" spans="2:10">
      <c r="B187" s="789"/>
      <c r="C187" s="789"/>
      <c r="D187" s="637"/>
      <c r="E187" s="307"/>
      <c r="F187" s="307">
        <v>664</v>
      </c>
      <c r="G187" s="307"/>
      <c r="H187" s="307">
        <f t="shared" ref="H187" si="91">IF(SUM(F187:G187)&gt;0,AVERAGE(F187:G187),0)</f>
        <v>664</v>
      </c>
      <c r="I187" s="312">
        <f t="shared" ref="I187" si="92">+IF(AND(E187&gt;0,H187=0),E187,IF(AND(E187=0,H187&gt;0),H187,0))</f>
        <v>664</v>
      </c>
      <c r="J187" s="789"/>
    </row>
    <row r="188" spans="2:10">
      <c r="B188" s="790"/>
      <c r="C188" s="790"/>
      <c r="D188" s="638"/>
      <c r="E188" s="308"/>
      <c r="F188" s="309" t="s">
        <v>598</v>
      </c>
      <c r="G188" s="309"/>
      <c r="H188" s="308"/>
      <c r="I188" s="313"/>
      <c r="J188" s="790"/>
    </row>
    <row r="189" spans="2:10">
      <c r="B189" s="788" t="s">
        <v>250</v>
      </c>
      <c r="C189" s="668" t="s">
        <v>705</v>
      </c>
      <c r="D189" s="636" t="s">
        <v>582</v>
      </c>
      <c r="E189" s="306"/>
      <c r="F189" s="310" t="s">
        <v>1022</v>
      </c>
      <c r="G189" s="310" t="s">
        <v>599</v>
      </c>
      <c r="H189" s="306"/>
      <c r="I189" s="311"/>
      <c r="J189" s="788"/>
    </row>
    <row r="190" spans="2:10">
      <c r="B190" s="789"/>
      <c r="C190" s="789"/>
      <c r="D190" s="637"/>
      <c r="E190" s="307"/>
      <c r="F190" s="307">
        <v>807</v>
      </c>
      <c r="G190" s="307"/>
      <c r="H190" s="307">
        <f t="shared" ref="H190" si="93">IF(SUM(F190:G190)&gt;0,AVERAGE(F190:G190),0)</f>
        <v>807</v>
      </c>
      <c r="I190" s="312">
        <f t="shared" ref="I190" si="94">+IF(AND(E190&gt;0,H190=0),E190,IF(AND(E190=0,H190&gt;0),H190,0))</f>
        <v>807</v>
      </c>
      <c r="J190" s="789"/>
    </row>
    <row r="191" spans="2:10">
      <c r="B191" s="790"/>
      <c r="C191" s="790"/>
      <c r="D191" s="638"/>
      <c r="E191" s="308"/>
      <c r="F191" s="309" t="s">
        <v>598</v>
      </c>
      <c r="G191" s="309"/>
      <c r="H191" s="308"/>
      <c r="I191" s="313"/>
      <c r="J191" s="790"/>
    </row>
    <row r="192" spans="2:10">
      <c r="B192" s="788" t="s">
        <v>585</v>
      </c>
      <c r="C192" s="668" t="s">
        <v>600</v>
      </c>
      <c r="D192" s="636" t="s">
        <v>582</v>
      </c>
      <c r="E192" s="306"/>
      <c r="F192" s="310" t="s">
        <v>703</v>
      </c>
      <c r="G192" s="310" t="s">
        <v>1021</v>
      </c>
      <c r="H192" s="306"/>
      <c r="I192" s="311"/>
      <c r="J192" s="788"/>
    </row>
    <row r="193" spans="2:10">
      <c r="B193" s="789"/>
      <c r="C193" s="789"/>
      <c r="D193" s="637"/>
      <c r="E193" s="307"/>
      <c r="F193" s="307">
        <v>256</v>
      </c>
      <c r="G193" s="307">
        <v>265</v>
      </c>
      <c r="H193" s="307">
        <f t="shared" ref="H193" si="95">IF(SUM(F193:G193)&gt;0,AVERAGE(F193:G193),0)</f>
        <v>260.5</v>
      </c>
      <c r="I193" s="312">
        <f t="shared" ref="I193" si="96">+IF(AND(E193&gt;0,H193=0),E193,IF(AND(E193=0,H193&gt;0),H193,0))</f>
        <v>260.5</v>
      </c>
      <c r="J193" s="789"/>
    </row>
    <row r="194" spans="2:10">
      <c r="B194" s="790"/>
      <c r="C194" s="790"/>
      <c r="D194" s="638"/>
      <c r="E194" s="308"/>
      <c r="F194" s="309" t="s">
        <v>575</v>
      </c>
      <c r="G194" s="309" t="s">
        <v>575</v>
      </c>
      <c r="H194" s="308"/>
      <c r="I194" s="313"/>
      <c r="J194" s="790"/>
    </row>
    <row r="195" spans="2:10">
      <c r="B195" s="788" t="s">
        <v>585</v>
      </c>
      <c r="C195" s="668" t="s">
        <v>601</v>
      </c>
      <c r="D195" s="636" t="s">
        <v>582</v>
      </c>
      <c r="E195" s="306"/>
      <c r="F195" s="310" t="s">
        <v>1020</v>
      </c>
      <c r="G195" s="310" t="s">
        <v>707</v>
      </c>
      <c r="H195" s="306"/>
      <c r="I195" s="311"/>
      <c r="J195" s="788"/>
    </row>
    <row r="196" spans="2:10">
      <c r="B196" s="789"/>
      <c r="C196" s="789"/>
      <c r="D196" s="637"/>
      <c r="E196" s="307"/>
      <c r="F196" s="307">
        <v>302</v>
      </c>
      <c r="G196" s="307">
        <v>299</v>
      </c>
      <c r="H196" s="307">
        <f t="shared" ref="H196" si="97">IF(SUM(F196:G196)&gt;0,AVERAGE(F196:G196),0)</f>
        <v>300.5</v>
      </c>
      <c r="I196" s="312">
        <f t="shared" ref="I196" si="98">+IF(AND(E196&gt;0,H196=0),E196,IF(AND(E196=0,H196&gt;0),H196,0))</f>
        <v>300.5</v>
      </c>
      <c r="J196" s="789"/>
    </row>
    <row r="197" spans="2:10">
      <c r="B197" s="790"/>
      <c r="C197" s="790"/>
      <c r="D197" s="638"/>
      <c r="E197" s="308"/>
      <c r="F197" s="309" t="s">
        <v>575</v>
      </c>
      <c r="G197" s="309" t="s">
        <v>575</v>
      </c>
      <c r="H197" s="308"/>
      <c r="I197" s="313"/>
      <c r="J197" s="790"/>
    </row>
    <row r="198" spans="2:10">
      <c r="B198" s="788" t="s">
        <v>585</v>
      </c>
      <c r="C198" s="668" t="s">
        <v>602</v>
      </c>
      <c r="D198" s="636" t="s">
        <v>582</v>
      </c>
      <c r="E198" s="306"/>
      <c r="F198" s="310" t="s">
        <v>1020</v>
      </c>
      <c r="G198" s="310" t="s">
        <v>707</v>
      </c>
      <c r="H198" s="306"/>
      <c r="I198" s="311"/>
      <c r="J198" s="788"/>
    </row>
    <row r="199" spans="2:10">
      <c r="B199" s="789"/>
      <c r="C199" s="789"/>
      <c r="D199" s="637"/>
      <c r="E199" s="307"/>
      <c r="F199" s="307">
        <v>587</v>
      </c>
      <c r="G199" s="307">
        <v>584</v>
      </c>
      <c r="H199" s="307">
        <f t="shared" ref="H199" si="99">IF(SUM(F199:G199)&gt;0,AVERAGE(F199:G199),0)</f>
        <v>585.5</v>
      </c>
      <c r="I199" s="312">
        <f t="shared" ref="I199" si="100">+IF(AND(E199&gt;0,H199=0),E199,IF(AND(E199=0,H199&gt;0),H199,0))</f>
        <v>585.5</v>
      </c>
      <c r="J199" s="789"/>
    </row>
    <row r="200" spans="2:10">
      <c r="B200" s="790"/>
      <c r="C200" s="790"/>
      <c r="D200" s="638"/>
      <c r="E200" s="308"/>
      <c r="F200" s="309" t="s">
        <v>575</v>
      </c>
      <c r="G200" s="309" t="s">
        <v>575</v>
      </c>
      <c r="H200" s="308"/>
      <c r="I200" s="313"/>
      <c r="J200" s="790"/>
    </row>
    <row r="201" spans="2:10">
      <c r="B201" s="788" t="s">
        <v>585</v>
      </c>
      <c r="C201" s="668" t="s">
        <v>603</v>
      </c>
      <c r="D201" s="636" t="s">
        <v>582</v>
      </c>
      <c r="E201" s="306"/>
      <c r="F201" s="310" t="s">
        <v>1020</v>
      </c>
      <c r="G201" s="310" t="s">
        <v>1021</v>
      </c>
      <c r="H201" s="306"/>
      <c r="I201" s="311"/>
      <c r="J201" s="788"/>
    </row>
    <row r="202" spans="2:10">
      <c r="B202" s="789"/>
      <c r="C202" s="789"/>
      <c r="D202" s="637"/>
      <c r="E202" s="307"/>
      <c r="F202" s="307">
        <v>842</v>
      </c>
      <c r="G202" s="307">
        <v>836</v>
      </c>
      <c r="H202" s="307">
        <f t="shared" ref="H202" si="101">IF(SUM(F202:G202)&gt;0,AVERAGE(F202:G202),0)</f>
        <v>839</v>
      </c>
      <c r="I202" s="312">
        <f t="shared" ref="I202" si="102">+IF(AND(E202&gt;0,H202=0),E202,IF(AND(E202=0,H202&gt;0),H202,0))</f>
        <v>839</v>
      </c>
      <c r="J202" s="789"/>
    </row>
    <row r="203" spans="2:10">
      <c r="B203" s="790"/>
      <c r="C203" s="790"/>
      <c r="D203" s="638"/>
      <c r="E203" s="308"/>
      <c r="F203" s="309" t="s">
        <v>575</v>
      </c>
      <c r="G203" s="309" t="s">
        <v>575</v>
      </c>
      <c r="H203" s="308"/>
      <c r="I203" s="313"/>
      <c r="J203" s="790"/>
    </row>
    <row r="204" spans="2:10">
      <c r="B204" s="788" t="s">
        <v>250</v>
      </c>
      <c r="C204" s="668" t="s">
        <v>702</v>
      </c>
      <c r="D204" s="636" t="s">
        <v>582</v>
      </c>
      <c r="E204" s="306"/>
      <c r="F204" s="310" t="s">
        <v>1020</v>
      </c>
      <c r="G204" s="310" t="s">
        <v>1021</v>
      </c>
      <c r="H204" s="306"/>
      <c r="I204" s="311"/>
      <c r="J204" s="788"/>
    </row>
    <row r="205" spans="2:10">
      <c r="B205" s="789"/>
      <c r="C205" s="789"/>
      <c r="D205" s="637"/>
      <c r="E205" s="307"/>
      <c r="F205" s="307">
        <v>1110</v>
      </c>
      <c r="G205" s="307">
        <v>1100</v>
      </c>
      <c r="H205" s="307">
        <f t="shared" ref="H205" si="103">IF(SUM(F205:G205)&gt;0,AVERAGE(F205:G205),0)</f>
        <v>1105</v>
      </c>
      <c r="I205" s="312">
        <f t="shared" ref="I205" si="104">+IF(AND(E205&gt;0,H205=0),E205,IF(AND(E205=0,H205&gt;0),H205,0))</f>
        <v>1105</v>
      </c>
      <c r="J205" s="789"/>
    </row>
    <row r="206" spans="2:10">
      <c r="B206" s="790"/>
      <c r="C206" s="790"/>
      <c r="D206" s="638"/>
      <c r="E206" s="308"/>
      <c r="F206" s="309" t="s">
        <v>575</v>
      </c>
      <c r="G206" s="309" t="s">
        <v>575</v>
      </c>
      <c r="H206" s="308"/>
      <c r="I206" s="313"/>
      <c r="J206" s="790"/>
    </row>
    <row r="207" spans="2:10">
      <c r="B207" s="788" t="s">
        <v>250</v>
      </c>
      <c r="C207" s="668" t="s">
        <v>604</v>
      </c>
      <c r="D207" s="636" t="s">
        <v>582</v>
      </c>
      <c r="E207" s="306"/>
      <c r="F207" s="310" t="s">
        <v>703</v>
      </c>
      <c r="G207" s="310" t="s">
        <v>1021</v>
      </c>
      <c r="H207" s="306"/>
      <c r="I207" s="311"/>
      <c r="J207" s="788"/>
    </row>
    <row r="208" spans="2:10">
      <c r="B208" s="789"/>
      <c r="C208" s="789"/>
      <c r="D208" s="637"/>
      <c r="E208" s="307"/>
      <c r="F208" s="307">
        <v>1558</v>
      </c>
      <c r="G208" s="307">
        <v>1550</v>
      </c>
      <c r="H208" s="307">
        <f t="shared" ref="H208" si="105">IF(SUM(F208:G208)&gt;0,AVERAGE(F208:G208),0)</f>
        <v>1554</v>
      </c>
      <c r="I208" s="312">
        <f t="shared" ref="I208" si="106">+IF(AND(E208&gt;0,H208=0),E208,IF(AND(E208=0,H208&gt;0),H208,0))</f>
        <v>1554</v>
      </c>
      <c r="J208" s="789"/>
    </row>
    <row r="209" spans="2:10">
      <c r="B209" s="790"/>
      <c r="C209" s="790"/>
      <c r="D209" s="638"/>
      <c r="E209" s="308"/>
      <c r="F209" s="309" t="s">
        <v>575</v>
      </c>
      <c r="G209" s="309" t="s">
        <v>575</v>
      </c>
      <c r="H209" s="308"/>
      <c r="I209" s="313"/>
      <c r="J209" s="790"/>
    </row>
    <row r="210" spans="2:10">
      <c r="B210" s="788" t="s">
        <v>250</v>
      </c>
      <c r="C210" s="668" t="s">
        <v>701</v>
      </c>
      <c r="D210" s="636" t="s">
        <v>582</v>
      </c>
      <c r="E210" s="306"/>
      <c r="F210" s="310" t="s">
        <v>1020</v>
      </c>
      <c r="G210" s="310" t="s">
        <v>707</v>
      </c>
      <c r="H210" s="306"/>
      <c r="I210" s="311"/>
      <c r="J210" s="788"/>
    </row>
    <row r="211" spans="2:10">
      <c r="B211" s="789"/>
      <c r="C211" s="789"/>
      <c r="D211" s="637"/>
      <c r="E211" s="307"/>
      <c r="F211" s="307">
        <v>1993</v>
      </c>
      <c r="G211" s="307">
        <v>1990</v>
      </c>
      <c r="H211" s="307">
        <f t="shared" ref="H211" si="107">IF(SUM(F211:G211)&gt;0,AVERAGE(F211:G211),0)</f>
        <v>1991.5</v>
      </c>
      <c r="I211" s="312">
        <f t="shared" ref="I211" si="108">+IF(AND(E211&gt;0,H211=0),E211,IF(AND(E211=0,H211&gt;0),H211,0))</f>
        <v>1991.5</v>
      </c>
      <c r="J211" s="789"/>
    </row>
    <row r="212" spans="2:10">
      <c r="B212" s="790"/>
      <c r="C212" s="790"/>
      <c r="D212" s="638"/>
      <c r="E212" s="308"/>
      <c r="F212" s="309" t="s">
        <v>575</v>
      </c>
      <c r="G212" s="309" t="s">
        <v>575</v>
      </c>
      <c r="H212" s="308"/>
      <c r="I212" s="313"/>
      <c r="J212" s="790"/>
    </row>
    <row r="213" spans="2:10">
      <c r="B213" s="788"/>
      <c r="C213" s="668"/>
      <c r="D213" s="636"/>
      <c r="E213" s="306"/>
      <c r="F213" s="310"/>
      <c r="G213" s="310"/>
      <c r="H213" s="306"/>
      <c r="I213" s="311"/>
      <c r="J213" s="788"/>
    </row>
    <row r="214" spans="2:10">
      <c r="B214" s="789"/>
      <c r="C214" s="789"/>
      <c r="D214" s="637"/>
      <c r="E214" s="307"/>
      <c r="F214" s="307"/>
      <c r="G214" s="307"/>
      <c r="H214" s="307">
        <f t="shared" ref="H214" si="109">IF(SUM(F214:G214)&gt;0,AVERAGE(F214:G214),0)</f>
        <v>0</v>
      </c>
      <c r="I214" s="312">
        <f t="shared" ref="I214" si="110">+IF(AND(E214&gt;0,H214=0),E214,IF(AND(E214=0,H214&gt;0),H214,0))</f>
        <v>0</v>
      </c>
      <c r="J214" s="789"/>
    </row>
    <row r="215" spans="2:10">
      <c r="B215" s="790"/>
      <c r="C215" s="790"/>
      <c r="D215" s="638"/>
      <c r="E215" s="308"/>
      <c r="F215" s="309"/>
      <c r="G215" s="309"/>
      <c r="H215" s="308"/>
      <c r="I215" s="313"/>
      <c r="J215" s="790"/>
    </row>
    <row r="216" spans="2:10">
      <c r="B216" s="788" t="s">
        <v>587</v>
      </c>
      <c r="C216" s="668" t="s">
        <v>605</v>
      </c>
      <c r="D216" s="636" t="s">
        <v>588</v>
      </c>
      <c r="E216" s="306"/>
      <c r="F216" s="310" t="s">
        <v>1023</v>
      </c>
      <c r="G216" s="310" t="s">
        <v>700</v>
      </c>
      <c r="H216" s="306"/>
      <c r="I216" s="311"/>
      <c r="J216" s="788"/>
    </row>
    <row r="217" spans="2:10">
      <c r="B217" s="789"/>
      <c r="C217" s="789"/>
      <c r="D217" s="637"/>
      <c r="E217" s="307"/>
      <c r="F217" s="307">
        <v>475</v>
      </c>
      <c r="G217" s="307">
        <v>408</v>
      </c>
      <c r="H217" s="307">
        <f t="shared" ref="H217" si="111">IF(SUM(F217:G217)&gt;0,AVERAGE(F217:G217),0)</f>
        <v>441.5</v>
      </c>
      <c r="I217" s="312">
        <f t="shared" ref="I217" si="112">+IF(AND(E217&gt;0,H217=0),E217,IF(AND(E217=0,H217&gt;0),H217,0))</f>
        <v>441.5</v>
      </c>
      <c r="J217" s="789"/>
    </row>
    <row r="218" spans="2:10">
      <c r="B218" s="790"/>
      <c r="C218" s="790"/>
      <c r="D218" s="638"/>
      <c r="E218" s="308"/>
      <c r="F218" s="309" t="s">
        <v>598</v>
      </c>
      <c r="G218" s="309" t="s">
        <v>598</v>
      </c>
      <c r="H218" s="308"/>
      <c r="I218" s="313"/>
      <c r="J218" s="790"/>
    </row>
    <row r="219" spans="2:10">
      <c r="B219" s="788" t="s">
        <v>587</v>
      </c>
      <c r="C219" s="668" t="s">
        <v>606</v>
      </c>
      <c r="D219" s="636" t="s">
        <v>588</v>
      </c>
      <c r="E219" s="306"/>
      <c r="F219" s="310" t="s">
        <v>699</v>
      </c>
      <c r="G219" s="310" t="s">
        <v>700</v>
      </c>
      <c r="H219" s="306"/>
      <c r="I219" s="311"/>
      <c r="J219" s="788"/>
    </row>
    <row r="220" spans="2:10">
      <c r="B220" s="789"/>
      <c r="C220" s="789"/>
      <c r="D220" s="637"/>
      <c r="E220" s="307"/>
      <c r="F220" s="307">
        <v>495</v>
      </c>
      <c r="G220" s="307">
        <v>425</v>
      </c>
      <c r="H220" s="307">
        <f t="shared" ref="H220" si="113">IF(SUM(F220:G220)&gt;0,AVERAGE(F220:G220),0)</f>
        <v>460</v>
      </c>
      <c r="I220" s="312">
        <f t="shared" ref="I220" si="114">+IF(AND(E220&gt;0,H220=0),E220,IF(AND(E220=0,H220&gt;0),H220,0))</f>
        <v>460</v>
      </c>
      <c r="J220" s="789"/>
    </row>
    <row r="221" spans="2:10">
      <c r="B221" s="790"/>
      <c r="C221" s="790"/>
      <c r="D221" s="638"/>
      <c r="E221" s="308"/>
      <c r="F221" s="309" t="s">
        <v>598</v>
      </c>
      <c r="G221" s="309" t="s">
        <v>598</v>
      </c>
      <c r="H221" s="308"/>
      <c r="I221" s="313"/>
      <c r="J221" s="790"/>
    </row>
    <row r="222" spans="2:10">
      <c r="B222" s="788" t="s">
        <v>587</v>
      </c>
      <c r="C222" s="668" t="s">
        <v>607</v>
      </c>
      <c r="D222" s="636" t="s">
        <v>588</v>
      </c>
      <c r="E222" s="306"/>
      <c r="F222" s="310" t="s">
        <v>1023</v>
      </c>
      <c r="G222" s="310" t="s">
        <v>1024</v>
      </c>
      <c r="H222" s="306"/>
      <c r="I222" s="311"/>
      <c r="J222" s="788"/>
    </row>
    <row r="223" spans="2:10">
      <c r="B223" s="789"/>
      <c r="C223" s="789"/>
      <c r="D223" s="637"/>
      <c r="E223" s="307"/>
      <c r="F223" s="307">
        <v>505</v>
      </c>
      <c r="G223" s="307">
        <v>434</v>
      </c>
      <c r="H223" s="307">
        <f t="shared" ref="H223" si="115">IF(SUM(F223:G223)&gt;0,AVERAGE(F223:G223),0)</f>
        <v>469.5</v>
      </c>
      <c r="I223" s="312">
        <f t="shared" ref="I223" si="116">+IF(AND(E223&gt;0,H223=0),E223,IF(AND(E223=0,H223&gt;0),H223,0))</f>
        <v>469.5</v>
      </c>
      <c r="J223" s="789"/>
    </row>
    <row r="224" spans="2:10">
      <c r="B224" s="790"/>
      <c r="C224" s="790"/>
      <c r="D224" s="638"/>
      <c r="E224" s="308"/>
      <c r="F224" s="309" t="s">
        <v>598</v>
      </c>
      <c r="G224" s="309" t="s">
        <v>598</v>
      </c>
      <c r="H224" s="308"/>
      <c r="I224" s="313"/>
      <c r="J224" s="790"/>
    </row>
    <row r="225" spans="2:10">
      <c r="B225" s="788" t="s">
        <v>587</v>
      </c>
      <c r="C225" s="668" t="s">
        <v>608</v>
      </c>
      <c r="D225" s="636" t="s">
        <v>588</v>
      </c>
      <c r="E225" s="306"/>
      <c r="F225" s="310" t="s">
        <v>699</v>
      </c>
      <c r="G225" s="310" t="s">
        <v>1024</v>
      </c>
      <c r="H225" s="306"/>
      <c r="I225" s="311"/>
      <c r="J225" s="788"/>
    </row>
    <row r="226" spans="2:10">
      <c r="B226" s="789"/>
      <c r="C226" s="789"/>
      <c r="D226" s="637"/>
      <c r="E226" s="307"/>
      <c r="F226" s="307">
        <v>550</v>
      </c>
      <c r="G226" s="307">
        <v>473</v>
      </c>
      <c r="H226" s="307">
        <f t="shared" ref="H226" si="117">IF(SUM(F226:G226)&gt;0,AVERAGE(F226:G226),0)</f>
        <v>511.5</v>
      </c>
      <c r="I226" s="312">
        <f t="shared" ref="I226" si="118">+IF(AND(E226&gt;0,H226=0),E226,IF(AND(E226=0,H226&gt;0),H226,0))</f>
        <v>511.5</v>
      </c>
      <c r="J226" s="789"/>
    </row>
    <row r="227" spans="2:10">
      <c r="B227" s="790"/>
      <c r="C227" s="790"/>
      <c r="D227" s="638"/>
      <c r="E227" s="308"/>
      <c r="F227" s="309" t="s">
        <v>598</v>
      </c>
      <c r="G227" s="309" t="s">
        <v>598</v>
      </c>
      <c r="H227" s="308"/>
      <c r="I227" s="313"/>
      <c r="J227" s="790"/>
    </row>
    <row r="228" spans="2:10">
      <c r="B228" s="788" t="s">
        <v>587</v>
      </c>
      <c r="C228" s="668" t="s">
        <v>698</v>
      </c>
      <c r="D228" s="636" t="s">
        <v>20</v>
      </c>
      <c r="E228" s="306"/>
      <c r="F228" s="310" t="s">
        <v>1023</v>
      </c>
      <c r="G228" s="310" t="s">
        <v>1024</v>
      </c>
      <c r="H228" s="306"/>
      <c r="I228" s="311"/>
      <c r="J228" s="788"/>
    </row>
    <row r="229" spans="2:10">
      <c r="B229" s="789"/>
      <c r="C229" s="789"/>
      <c r="D229" s="637"/>
      <c r="E229" s="307"/>
      <c r="F229" s="307">
        <v>590</v>
      </c>
      <c r="G229" s="307">
        <v>507</v>
      </c>
      <c r="H229" s="307">
        <f t="shared" ref="H229" si="119">IF(SUM(F229:G229)&gt;0,AVERAGE(F229:G229),0)</f>
        <v>548.5</v>
      </c>
      <c r="I229" s="312">
        <f t="shared" ref="I229" si="120">+IF(AND(E229&gt;0,H229=0),E229,IF(AND(E229=0,H229&gt;0),H229,0))</f>
        <v>548.5</v>
      </c>
      <c r="J229" s="789"/>
    </row>
    <row r="230" spans="2:10">
      <c r="B230" s="790"/>
      <c r="C230" s="790"/>
      <c r="D230" s="638"/>
      <c r="E230" s="308"/>
      <c r="F230" s="309" t="s">
        <v>598</v>
      </c>
      <c r="G230" s="309" t="s">
        <v>598</v>
      </c>
      <c r="H230" s="308"/>
      <c r="I230" s="313"/>
      <c r="J230" s="790"/>
    </row>
    <row r="231" spans="2:10">
      <c r="B231" s="788"/>
      <c r="C231" s="668"/>
      <c r="D231" s="636"/>
      <c r="E231" s="306"/>
      <c r="F231" s="310"/>
      <c r="G231" s="310"/>
      <c r="H231" s="306"/>
      <c r="I231" s="311"/>
      <c r="J231" s="788"/>
    </row>
    <row r="232" spans="2:10">
      <c r="B232" s="789"/>
      <c r="C232" s="789"/>
      <c r="D232" s="637"/>
      <c r="E232" s="307"/>
      <c r="F232" s="307"/>
      <c r="G232" s="307"/>
      <c r="H232" s="307">
        <f t="shared" ref="H232" si="121">IF(SUM(F232:G232)&gt;0,AVERAGE(F232:G232),0)</f>
        <v>0</v>
      </c>
      <c r="I232" s="312">
        <f t="shared" ref="I232" si="122">+IF(AND(E232&gt;0,H232=0),E232,IF(AND(E232=0,H232&gt;0),H232,0))</f>
        <v>0</v>
      </c>
      <c r="J232" s="789"/>
    </row>
    <row r="233" spans="2:10">
      <c r="B233" s="790"/>
      <c r="C233" s="790"/>
      <c r="D233" s="638"/>
      <c r="E233" s="308"/>
      <c r="F233" s="309"/>
      <c r="G233" s="309"/>
      <c r="H233" s="308"/>
      <c r="I233" s="313"/>
      <c r="J233" s="790"/>
    </row>
    <row r="234" spans="2:10">
      <c r="B234" s="788" t="s">
        <v>259</v>
      </c>
      <c r="C234" s="788" t="s">
        <v>697</v>
      </c>
      <c r="D234" s="636" t="s">
        <v>22</v>
      </c>
      <c r="E234" s="306"/>
      <c r="F234" s="310" t="s">
        <v>1025</v>
      </c>
      <c r="G234" s="310" t="s">
        <v>1026</v>
      </c>
      <c r="H234" s="306"/>
      <c r="I234" s="311"/>
      <c r="J234" s="788"/>
    </row>
    <row r="235" spans="2:10">
      <c r="B235" s="789"/>
      <c r="C235" s="789"/>
      <c r="D235" s="637"/>
      <c r="E235" s="307"/>
      <c r="F235" s="307">
        <v>1260</v>
      </c>
      <c r="G235" s="307">
        <v>1370</v>
      </c>
      <c r="H235" s="307">
        <f t="shared" ref="H235" si="123">IF(SUM(F235:G235)&gt;0,AVERAGE(F235:G235),0)</f>
        <v>1315</v>
      </c>
      <c r="I235" s="312">
        <f t="shared" ref="I235" si="124">+IF(AND(E235&gt;0,H235=0),E235,IF(AND(E235=0,H235&gt;0),H235,0))</f>
        <v>1315</v>
      </c>
      <c r="J235" s="789"/>
    </row>
    <row r="236" spans="2:10">
      <c r="B236" s="790"/>
      <c r="C236" s="790"/>
      <c r="D236" s="638"/>
      <c r="E236" s="308"/>
      <c r="F236" s="309" t="s">
        <v>598</v>
      </c>
      <c r="G236" s="309" t="s">
        <v>598</v>
      </c>
      <c r="H236" s="308"/>
      <c r="I236" s="313"/>
      <c r="J236" s="790"/>
    </row>
    <row r="237" spans="2:10">
      <c r="B237" s="788" t="s">
        <v>589</v>
      </c>
      <c r="C237" s="788" t="s">
        <v>696</v>
      </c>
      <c r="D237" s="636" t="s">
        <v>590</v>
      </c>
      <c r="E237" s="306"/>
      <c r="F237" s="310" t="s">
        <v>1025</v>
      </c>
      <c r="G237" s="310" t="s">
        <v>694</v>
      </c>
      <c r="H237" s="306"/>
      <c r="I237" s="311"/>
      <c r="J237" s="788"/>
    </row>
    <row r="238" spans="2:10">
      <c r="B238" s="789"/>
      <c r="C238" s="789"/>
      <c r="D238" s="637"/>
      <c r="E238" s="307"/>
      <c r="F238" s="307">
        <v>2600</v>
      </c>
      <c r="G238" s="307">
        <v>2800</v>
      </c>
      <c r="H238" s="307">
        <f t="shared" ref="H238" si="125">IF(SUM(F238:G238)&gt;0,AVERAGE(F238:G238),0)</f>
        <v>2700</v>
      </c>
      <c r="I238" s="312">
        <f t="shared" ref="I238" si="126">+IF(AND(E238&gt;0,H238=0),E238,IF(AND(E238=0,H238&gt;0),H238,0))</f>
        <v>2700</v>
      </c>
      <c r="J238" s="789"/>
    </row>
    <row r="239" spans="2:10">
      <c r="B239" s="790"/>
      <c r="C239" s="790"/>
      <c r="D239" s="638"/>
      <c r="E239" s="308"/>
      <c r="F239" s="309" t="s">
        <v>598</v>
      </c>
      <c r="G239" s="309" t="s">
        <v>598</v>
      </c>
      <c r="H239" s="308"/>
      <c r="I239" s="313"/>
      <c r="J239" s="790"/>
    </row>
    <row r="240" spans="2:10">
      <c r="B240" s="792" t="s">
        <v>591</v>
      </c>
      <c r="C240" s="788" t="s">
        <v>611</v>
      </c>
      <c r="D240" s="636" t="s">
        <v>590</v>
      </c>
      <c r="E240" s="306"/>
      <c r="F240" s="310" t="s">
        <v>1025</v>
      </c>
      <c r="G240" s="310" t="s">
        <v>694</v>
      </c>
      <c r="H240" s="306"/>
      <c r="I240" s="311"/>
      <c r="J240" s="788"/>
    </row>
    <row r="241" spans="2:10">
      <c r="B241" s="789"/>
      <c r="C241" s="789"/>
      <c r="D241" s="637"/>
      <c r="E241" s="307"/>
      <c r="F241" s="307">
        <v>610</v>
      </c>
      <c r="G241" s="307">
        <v>680</v>
      </c>
      <c r="H241" s="307">
        <f t="shared" ref="H241" si="127">IF(SUM(F241:G241)&gt;0,AVERAGE(F241:G241),0)</f>
        <v>645</v>
      </c>
      <c r="I241" s="312">
        <f t="shared" ref="I241" si="128">+IF(AND(E241&gt;0,H241=0),E241,IF(AND(E241=0,H241&gt;0),H241,0))</f>
        <v>645</v>
      </c>
      <c r="J241" s="789"/>
    </row>
    <row r="242" spans="2:10">
      <c r="B242" s="790"/>
      <c r="C242" s="790"/>
      <c r="D242" s="638"/>
      <c r="E242" s="308"/>
      <c r="F242" s="309" t="s">
        <v>598</v>
      </c>
      <c r="G242" s="309" t="s">
        <v>598</v>
      </c>
      <c r="H242" s="308"/>
      <c r="I242" s="313"/>
      <c r="J242" s="790"/>
    </row>
    <row r="243" spans="2:10" ht="18.75" customHeight="1">
      <c r="B243" s="792" t="s">
        <v>591</v>
      </c>
      <c r="C243" s="788" t="s">
        <v>695</v>
      </c>
      <c r="D243" s="636" t="s">
        <v>22</v>
      </c>
      <c r="E243" s="306"/>
      <c r="F243" s="310" t="s">
        <v>1025</v>
      </c>
      <c r="G243" s="310" t="s">
        <v>1026</v>
      </c>
      <c r="H243" s="306"/>
      <c r="I243" s="311"/>
      <c r="J243" s="788"/>
    </row>
    <row r="244" spans="2:10">
      <c r="B244" s="789"/>
      <c r="C244" s="789"/>
      <c r="D244" s="637"/>
      <c r="E244" s="307"/>
      <c r="F244" s="307">
        <v>680</v>
      </c>
      <c r="G244" s="307">
        <v>690</v>
      </c>
      <c r="H244" s="307">
        <f t="shared" ref="H244" si="129">IF(SUM(F244:G244)&gt;0,AVERAGE(F244:G244),0)</f>
        <v>685</v>
      </c>
      <c r="I244" s="312">
        <f t="shared" ref="I244" si="130">+IF(AND(E244&gt;0,H244=0),E244,IF(AND(E244=0,H244&gt;0),H244,0))</f>
        <v>685</v>
      </c>
      <c r="J244" s="789"/>
    </row>
    <row r="245" spans="2:10">
      <c r="B245" s="790"/>
      <c r="C245" s="790"/>
      <c r="D245" s="638"/>
      <c r="E245" s="308"/>
      <c r="F245" s="309" t="s">
        <v>598</v>
      </c>
      <c r="G245" s="309" t="s">
        <v>598</v>
      </c>
      <c r="H245" s="308"/>
      <c r="I245" s="313"/>
      <c r="J245" s="790"/>
    </row>
    <row r="246" spans="2:10" ht="18.75" customHeight="1">
      <c r="B246" s="788"/>
      <c r="C246" s="792"/>
      <c r="D246" s="636"/>
      <c r="E246" s="306"/>
      <c r="F246" s="310"/>
      <c r="G246" s="310"/>
      <c r="H246" s="306"/>
      <c r="I246" s="311"/>
      <c r="J246" s="788"/>
    </row>
    <row r="247" spans="2:10">
      <c r="B247" s="789"/>
      <c r="C247" s="793"/>
      <c r="D247" s="637"/>
      <c r="E247" s="307"/>
      <c r="F247" s="307"/>
      <c r="G247" s="307"/>
      <c r="H247" s="307"/>
      <c r="I247" s="312"/>
      <c r="J247" s="789"/>
    </row>
    <row r="248" spans="2:10">
      <c r="B248" s="790"/>
      <c r="C248" s="794"/>
      <c r="D248" s="638"/>
      <c r="E248" s="308"/>
      <c r="F248" s="309"/>
      <c r="G248" s="309"/>
      <c r="H248" s="308"/>
      <c r="I248" s="313"/>
      <c r="J248" s="790"/>
    </row>
    <row r="249" spans="2:10">
      <c r="B249" s="788" t="s">
        <v>609</v>
      </c>
      <c r="C249" s="792" t="s">
        <v>691</v>
      </c>
      <c r="D249" s="636" t="s">
        <v>22</v>
      </c>
      <c r="E249" s="306"/>
      <c r="F249" s="310" t="s">
        <v>1027</v>
      </c>
      <c r="G249" s="310" t="s">
        <v>693</v>
      </c>
      <c r="H249" s="306"/>
      <c r="I249" s="311"/>
      <c r="J249" s="788"/>
    </row>
    <row r="250" spans="2:10">
      <c r="B250" s="789"/>
      <c r="C250" s="789"/>
      <c r="D250" s="637"/>
      <c r="E250" s="307"/>
      <c r="F250" s="307">
        <v>51700</v>
      </c>
      <c r="G250" s="307">
        <v>46800</v>
      </c>
      <c r="H250" s="307">
        <f t="shared" ref="H250" si="131">IF(SUM(F250:G250)&gt;0,AVERAGE(F250:G250),0)</f>
        <v>49250</v>
      </c>
      <c r="I250" s="312">
        <f t="shared" ref="I250" si="132">+IF(AND(E250&gt;0,H250=0),E250,IF(AND(E250=0,H250&gt;0),H250,0))</f>
        <v>49250</v>
      </c>
      <c r="J250" s="789"/>
    </row>
    <row r="251" spans="2:10">
      <c r="B251" s="790"/>
      <c r="C251" s="790"/>
      <c r="D251" s="638"/>
      <c r="E251" s="308"/>
      <c r="F251" s="309" t="s">
        <v>610</v>
      </c>
      <c r="G251" s="309" t="s">
        <v>692</v>
      </c>
      <c r="H251" s="308"/>
      <c r="I251" s="313"/>
      <c r="J251" s="790"/>
    </row>
    <row r="252" spans="2:10" ht="18.75" customHeight="1">
      <c r="B252" s="788"/>
      <c r="C252" s="792"/>
      <c r="D252" s="636"/>
      <c r="E252" s="306"/>
      <c r="F252" s="310"/>
      <c r="G252" s="310"/>
      <c r="H252" s="306"/>
      <c r="I252" s="311"/>
      <c r="J252" s="788"/>
    </row>
    <row r="253" spans="2:10">
      <c r="B253" s="789"/>
      <c r="C253" s="793"/>
      <c r="D253" s="637"/>
      <c r="E253" s="307"/>
      <c r="F253" s="307"/>
      <c r="G253" s="307"/>
      <c r="H253" s="307">
        <f t="shared" ref="H253" si="133">IF(SUM(F253:G253)&gt;0,AVERAGE(F253:G253),0)</f>
        <v>0</v>
      </c>
      <c r="I253" s="312">
        <f t="shared" ref="I253" si="134">+IF(AND(E253&gt;0,H253=0),E253,IF(AND(E253=0,H253&gt;0),H253,0))</f>
        <v>0</v>
      </c>
      <c r="J253" s="789"/>
    </row>
    <row r="254" spans="2:10">
      <c r="B254" s="790"/>
      <c r="C254" s="794"/>
      <c r="D254" s="638"/>
      <c r="E254" s="308"/>
      <c r="F254" s="309"/>
      <c r="G254" s="309"/>
      <c r="H254" s="308"/>
      <c r="I254" s="313"/>
      <c r="J254" s="790"/>
    </row>
    <row r="255" spans="2:10" ht="18.75" customHeight="1">
      <c r="B255" s="788" t="s">
        <v>648</v>
      </c>
      <c r="C255" s="792" t="s">
        <v>649</v>
      </c>
      <c r="D255" s="636" t="s">
        <v>35</v>
      </c>
      <c r="E255" s="306"/>
      <c r="F255" s="310" t="s">
        <v>1028</v>
      </c>
      <c r="G255" s="310" t="s">
        <v>1029</v>
      </c>
      <c r="H255" s="306"/>
      <c r="I255" s="311"/>
      <c r="J255" s="788"/>
    </row>
    <row r="256" spans="2:10">
      <c r="B256" s="789"/>
      <c r="C256" s="789"/>
      <c r="D256" s="637"/>
      <c r="E256" s="307"/>
      <c r="F256" s="307">
        <v>4900</v>
      </c>
      <c r="G256" s="307">
        <v>5250</v>
      </c>
      <c r="H256" s="307">
        <f t="shared" ref="H256" si="135">IF(SUM(F256:G256)&gt;0,AVERAGE(F256:G256),0)</f>
        <v>5075</v>
      </c>
      <c r="I256" s="312">
        <f t="shared" ref="I256" si="136">+IF(AND(E256&gt;0,H256=0),E256,IF(AND(E256=0,H256&gt;0),H256,0))</f>
        <v>5075</v>
      </c>
      <c r="J256" s="789"/>
    </row>
    <row r="257" spans="2:10">
      <c r="B257" s="790"/>
      <c r="C257" s="790"/>
      <c r="D257" s="638"/>
      <c r="E257" s="308"/>
      <c r="F257" s="309" t="s">
        <v>595</v>
      </c>
      <c r="G257" s="309" t="s">
        <v>595</v>
      </c>
      <c r="H257" s="308"/>
      <c r="I257" s="313"/>
      <c r="J257" s="790"/>
    </row>
    <row r="258" spans="2:10" ht="18.75" customHeight="1">
      <c r="B258" s="788" t="s">
        <v>648</v>
      </c>
      <c r="C258" s="792" t="s">
        <v>687</v>
      </c>
      <c r="D258" s="636" t="s">
        <v>35</v>
      </c>
      <c r="E258" s="306"/>
      <c r="F258" s="310" t="s">
        <v>690</v>
      </c>
      <c r="G258" s="310" t="s">
        <v>1029</v>
      </c>
      <c r="H258" s="306"/>
      <c r="I258" s="311"/>
      <c r="J258" s="788"/>
    </row>
    <row r="259" spans="2:10">
      <c r="B259" s="789"/>
      <c r="C259" s="789"/>
      <c r="D259" s="637"/>
      <c r="E259" s="307"/>
      <c r="F259" s="307">
        <v>6510</v>
      </c>
      <c r="G259" s="307">
        <v>6970</v>
      </c>
      <c r="H259" s="307">
        <f t="shared" ref="H259" si="137">IF(SUM(F259:G259)&gt;0,AVERAGE(F259:G259),0)</f>
        <v>6740</v>
      </c>
      <c r="I259" s="312">
        <f t="shared" ref="I259" si="138">+IF(AND(E259&gt;0,H259=0),E259,IF(AND(E259=0,H259&gt;0),H259,0))</f>
        <v>6740</v>
      </c>
      <c r="J259" s="789"/>
    </row>
    <row r="260" spans="2:10">
      <c r="B260" s="790"/>
      <c r="C260" s="790"/>
      <c r="D260" s="638"/>
      <c r="E260" s="308"/>
      <c r="F260" s="309" t="s">
        <v>595</v>
      </c>
      <c r="G260" s="309" t="s">
        <v>595</v>
      </c>
      <c r="H260" s="308"/>
      <c r="I260" s="313"/>
      <c r="J260" s="790"/>
    </row>
    <row r="261" spans="2:10">
      <c r="B261" s="788" t="s">
        <v>648</v>
      </c>
      <c r="C261" s="792" t="s">
        <v>688</v>
      </c>
      <c r="D261" s="636" t="s">
        <v>35</v>
      </c>
      <c r="E261" s="306"/>
      <c r="F261" s="310" t="s">
        <v>1028</v>
      </c>
      <c r="G261" s="310" t="s">
        <v>689</v>
      </c>
      <c r="H261" s="306"/>
      <c r="I261" s="311"/>
      <c r="J261" s="788"/>
    </row>
    <row r="262" spans="2:10">
      <c r="B262" s="789"/>
      <c r="C262" s="789"/>
      <c r="D262" s="637"/>
      <c r="E262" s="307"/>
      <c r="F262" s="307">
        <v>11400</v>
      </c>
      <c r="G262" s="307">
        <v>12200</v>
      </c>
      <c r="H262" s="307">
        <f t="shared" ref="H262" si="139">IF(SUM(F262:G262)&gt;0,AVERAGE(F262:G262),0)</f>
        <v>11800</v>
      </c>
      <c r="I262" s="312">
        <f t="shared" ref="I262" si="140">+IF(AND(E262&gt;0,H262=0),E262,IF(AND(E262=0,H262&gt;0),H262,0))</f>
        <v>11800</v>
      </c>
      <c r="J262" s="789"/>
    </row>
    <row r="263" spans="2:10">
      <c r="B263" s="790"/>
      <c r="C263" s="790"/>
      <c r="D263" s="638"/>
      <c r="E263" s="308"/>
      <c r="F263" s="309" t="s">
        <v>595</v>
      </c>
      <c r="G263" s="309" t="s">
        <v>595</v>
      </c>
      <c r="H263" s="308"/>
      <c r="I263" s="313"/>
      <c r="J263" s="790"/>
    </row>
    <row r="264" spans="2:10">
      <c r="B264" s="788"/>
      <c r="C264" s="792"/>
      <c r="D264" s="636"/>
      <c r="E264" s="306"/>
      <c r="F264" s="310"/>
      <c r="G264" s="310"/>
      <c r="H264" s="306"/>
      <c r="I264" s="311"/>
      <c r="J264" s="788"/>
    </row>
    <row r="265" spans="2:10">
      <c r="B265" s="789"/>
      <c r="C265" s="789"/>
      <c r="D265" s="637"/>
      <c r="E265" s="307"/>
      <c r="F265" s="307"/>
      <c r="G265" s="307"/>
      <c r="H265" s="307"/>
      <c r="I265" s="312"/>
      <c r="J265" s="789"/>
    </row>
    <row r="266" spans="2:10">
      <c r="B266" s="790"/>
      <c r="C266" s="790"/>
      <c r="D266" s="638"/>
      <c r="E266" s="308"/>
      <c r="F266" s="309"/>
      <c r="G266" s="309"/>
      <c r="H266" s="308"/>
      <c r="I266" s="313"/>
      <c r="J266" s="790"/>
    </row>
    <row r="267" spans="2:10">
      <c r="B267" s="788" t="s">
        <v>785</v>
      </c>
      <c r="C267" s="792" t="s">
        <v>788</v>
      </c>
      <c r="D267" s="636" t="s">
        <v>787</v>
      </c>
      <c r="E267" s="306"/>
      <c r="F267" s="310" t="s">
        <v>1028</v>
      </c>
      <c r="G267" s="310" t="s">
        <v>1030</v>
      </c>
      <c r="H267" s="306"/>
      <c r="I267" s="311"/>
      <c r="J267" s="788"/>
    </row>
    <row r="268" spans="2:10">
      <c r="B268" s="789"/>
      <c r="C268" s="789"/>
      <c r="D268" s="637"/>
      <c r="E268" s="307"/>
      <c r="F268" s="307">
        <v>3500</v>
      </c>
      <c r="G268" s="307">
        <v>2780</v>
      </c>
      <c r="H268" s="307">
        <f t="shared" ref="H268" si="141">IF(SUM(F268:G268)&gt;0,AVERAGE(F268:G268),0)</f>
        <v>3140</v>
      </c>
      <c r="I268" s="312">
        <f t="shared" ref="I268" si="142">+IF(AND(E268&gt;0,H268=0),E268,IF(AND(E268=0,H268&gt;0),H268,0))</f>
        <v>3140</v>
      </c>
      <c r="J268" s="789"/>
    </row>
    <row r="269" spans="2:10">
      <c r="B269" s="790"/>
      <c r="C269" s="790"/>
      <c r="D269" s="638"/>
      <c r="E269" s="308"/>
      <c r="F269" s="309" t="s">
        <v>595</v>
      </c>
      <c r="G269" s="309" t="s">
        <v>595</v>
      </c>
      <c r="H269" s="308"/>
      <c r="I269" s="313"/>
      <c r="J269" s="790"/>
    </row>
    <row r="270" spans="2:10">
      <c r="B270" s="788" t="s">
        <v>786</v>
      </c>
      <c r="C270" s="788" t="s">
        <v>789</v>
      </c>
      <c r="D270" s="636" t="s">
        <v>787</v>
      </c>
      <c r="E270" s="306"/>
      <c r="F270" s="310" t="s">
        <v>690</v>
      </c>
      <c r="G270" s="310" t="s">
        <v>689</v>
      </c>
      <c r="H270" s="306"/>
      <c r="I270" s="311"/>
      <c r="J270" s="788"/>
    </row>
    <row r="271" spans="2:10">
      <c r="B271" s="789"/>
      <c r="C271" s="789"/>
      <c r="D271" s="637"/>
      <c r="E271" s="307"/>
      <c r="F271" s="307">
        <v>21300</v>
      </c>
      <c r="G271" s="307">
        <v>17600</v>
      </c>
      <c r="H271" s="307">
        <f t="shared" ref="H271" si="143">IF(SUM(F271:G271)&gt;0,AVERAGE(F271:G271),0)</f>
        <v>19450</v>
      </c>
      <c r="I271" s="312">
        <f t="shared" ref="I271" si="144">+IF(AND(E271&gt;0,H271=0),E271,IF(AND(E271=0,H271&gt;0),H271,0))</f>
        <v>19450</v>
      </c>
      <c r="J271" s="789"/>
    </row>
    <row r="272" spans="2:10">
      <c r="B272" s="790"/>
      <c r="C272" s="790"/>
      <c r="D272" s="638"/>
      <c r="E272" s="308"/>
      <c r="F272" s="309" t="s">
        <v>595</v>
      </c>
      <c r="G272" s="309" t="s">
        <v>595</v>
      </c>
      <c r="H272" s="308"/>
      <c r="I272" s="313"/>
      <c r="J272" s="790"/>
    </row>
    <row r="273" spans="2:10">
      <c r="B273" s="788"/>
      <c r="C273" s="788"/>
      <c r="D273" s="636"/>
      <c r="E273" s="306"/>
      <c r="F273" s="310"/>
      <c r="G273" s="310"/>
      <c r="H273" s="306"/>
      <c r="I273" s="311"/>
      <c r="J273" s="788"/>
    </row>
    <row r="274" spans="2:10">
      <c r="B274" s="789"/>
      <c r="C274" s="789"/>
      <c r="D274" s="637"/>
      <c r="E274" s="307"/>
      <c r="F274" s="307"/>
      <c r="G274" s="307"/>
      <c r="H274" s="307">
        <f t="shared" ref="H274" si="145">IF(SUM(F274:G274)&gt;0,AVERAGE(F274:G274),0)</f>
        <v>0</v>
      </c>
      <c r="I274" s="312">
        <f t="shared" ref="I274" si="146">+IF(AND(E274&gt;0,H274=0),E274,IF(AND(E274=0,H274&gt;0),H274,0))</f>
        <v>0</v>
      </c>
      <c r="J274" s="789"/>
    </row>
    <row r="275" spans="2:10">
      <c r="B275" s="790"/>
      <c r="C275" s="790"/>
      <c r="D275" s="638"/>
      <c r="E275" s="308"/>
      <c r="F275" s="309"/>
      <c r="G275" s="309"/>
      <c r="H275" s="308"/>
      <c r="I275" s="313"/>
      <c r="J275" s="790"/>
    </row>
    <row r="276" spans="2:10">
      <c r="B276" s="788"/>
      <c r="C276" s="788"/>
      <c r="D276" s="636"/>
      <c r="E276" s="306"/>
      <c r="F276" s="310"/>
      <c r="G276" s="310"/>
      <c r="H276" s="306"/>
      <c r="I276" s="311"/>
      <c r="J276" s="788"/>
    </row>
    <row r="277" spans="2:10">
      <c r="B277" s="789"/>
      <c r="C277" s="789"/>
      <c r="D277" s="637"/>
      <c r="E277" s="307"/>
      <c r="F277" s="307"/>
      <c r="G277" s="307"/>
      <c r="H277" s="307">
        <f t="shared" ref="H277" si="147">IF(SUM(F277:G277)&gt;0,AVERAGE(F277:G277),0)</f>
        <v>0</v>
      </c>
      <c r="I277" s="312">
        <f t="shared" ref="I277" si="148">+IF(AND(E277&gt;0,H277=0),E277,IF(AND(E277=0,H277&gt;0),H277,0))</f>
        <v>0</v>
      </c>
      <c r="J277" s="789"/>
    </row>
    <row r="278" spans="2:10">
      <c r="B278" s="790"/>
      <c r="C278" s="790"/>
      <c r="D278" s="638"/>
      <c r="E278" s="308"/>
      <c r="F278" s="309"/>
      <c r="G278" s="309"/>
      <c r="H278" s="308"/>
      <c r="I278" s="313"/>
      <c r="J278" s="790"/>
    </row>
    <row r="279" spans="2:10">
      <c r="B279" s="788"/>
      <c r="C279" s="788"/>
      <c r="D279" s="636"/>
      <c r="E279" s="306"/>
      <c r="F279" s="310"/>
      <c r="G279" s="310"/>
      <c r="H279" s="306"/>
      <c r="I279" s="311"/>
      <c r="J279" s="788"/>
    </row>
    <row r="280" spans="2:10">
      <c r="B280" s="789"/>
      <c r="C280" s="789"/>
      <c r="D280" s="637"/>
      <c r="E280" s="307"/>
      <c r="F280" s="307"/>
      <c r="G280" s="307"/>
      <c r="H280" s="307">
        <f t="shared" ref="H280" si="149">IF(SUM(F280:G280)&gt;0,AVERAGE(F280:G280),0)</f>
        <v>0</v>
      </c>
      <c r="I280" s="312">
        <f t="shared" ref="I280" si="150">+IF(AND(E280&gt;0,H280=0),E280,IF(AND(E280=0,H280&gt;0),H280,0))</f>
        <v>0</v>
      </c>
      <c r="J280" s="789"/>
    </row>
    <row r="281" spans="2:10">
      <c r="B281" s="790"/>
      <c r="C281" s="790"/>
      <c r="D281" s="638"/>
      <c r="E281" s="308"/>
      <c r="F281" s="309"/>
      <c r="G281" s="309"/>
      <c r="H281" s="308"/>
      <c r="I281" s="313"/>
      <c r="J281" s="790"/>
    </row>
    <row r="282" spans="2:10">
      <c r="B282" s="788"/>
      <c r="C282" s="788"/>
      <c r="D282" s="636"/>
      <c r="E282" s="306"/>
      <c r="F282" s="310"/>
      <c r="G282" s="310"/>
      <c r="H282" s="306"/>
      <c r="I282" s="311"/>
      <c r="J282" s="788"/>
    </row>
    <row r="283" spans="2:10">
      <c r="B283" s="789"/>
      <c r="C283" s="789"/>
      <c r="D283" s="637"/>
      <c r="E283" s="307"/>
      <c r="F283" s="307"/>
      <c r="G283" s="307"/>
      <c r="H283" s="307">
        <f t="shared" ref="H283" si="151">IF(SUM(F283:G283)&gt;0,AVERAGE(F283:G283),0)</f>
        <v>0</v>
      </c>
      <c r="I283" s="312">
        <f t="shared" ref="I283" si="152">+IF(AND(E283&gt;0,H283=0),E283,IF(AND(E283=0,H283&gt;0),H283,0))</f>
        <v>0</v>
      </c>
      <c r="J283" s="789"/>
    </row>
    <row r="284" spans="2:10">
      <c r="B284" s="790"/>
      <c r="C284" s="790"/>
      <c r="D284" s="638"/>
      <c r="E284" s="308"/>
      <c r="F284" s="309"/>
      <c r="G284" s="309"/>
      <c r="H284" s="308"/>
      <c r="I284" s="313"/>
      <c r="J284" s="790"/>
    </row>
    <row r="285" spans="2:10">
      <c r="B285" s="788"/>
      <c r="C285" s="788"/>
      <c r="D285" s="636"/>
      <c r="E285" s="306"/>
      <c r="F285" s="310"/>
      <c r="G285" s="310"/>
      <c r="H285" s="306"/>
      <c r="I285" s="311"/>
      <c r="J285" s="788"/>
    </row>
    <row r="286" spans="2:10">
      <c r="B286" s="789"/>
      <c r="C286" s="789"/>
      <c r="D286" s="637"/>
      <c r="E286" s="307"/>
      <c r="F286" s="307"/>
      <c r="G286" s="307"/>
      <c r="H286" s="307">
        <f t="shared" ref="H286" si="153">IF(SUM(F286:G286)&gt;0,AVERAGE(F286:G286),0)</f>
        <v>0</v>
      </c>
      <c r="I286" s="312">
        <f t="shared" ref="I286" si="154">+IF(AND(E286&gt;0,H286=0),E286,IF(AND(E286=0,H286&gt;0),H286,0))</f>
        <v>0</v>
      </c>
      <c r="J286" s="789"/>
    </row>
    <row r="287" spans="2:10">
      <c r="B287" s="790"/>
      <c r="C287" s="790"/>
      <c r="D287" s="638"/>
      <c r="E287" s="308"/>
      <c r="F287" s="309"/>
      <c r="G287" s="309"/>
      <c r="H287" s="308"/>
      <c r="I287" s="313"/>
      <c r="J287" s="790"/>
    </row>
    <row r="288" spans="2:10">
      <c r="B288" s="788"/>
      <c r="C288" s="788"/>
      <c r="D288" s="636"/>
      <c r="E288" s="306"/>
      <c r="F288" s="310"/>
      <c r="G288" s="310"/>
      <c r="H288" s="306"/>
      <c r="I288" s="311"/>
      <c r="J288" s="788"/>
    </row>
    <row r="289" spans="2:10">
      <c r="B289" s="789"/>
      <c r="C289" s="789"/>
      <c r="D289" s="637"/>
      <c r="E289" s="307"/>
      <c r="F289" s="307"/>
      <c r="G289" s="307"/>
      <c r="H289" s="307">
        <f t="shared" ref="H289" si="155">IF(SUM(F289:G289)&gt;0,AVERAGE(F289:G289),0)</f>
        <v>0</v>
      </c>
      <c r="I289" s="312">
        <f t="shared" ref="I289" si="156">+IF(AND(E289&gt;0,H289=0),E289,IF(AND(E289=0,H289&gt;0),H289,0))</f>
        <v>0</v>
      </c>
      <c r="J289" s="789"/>
    </row>
    <row r="290" spans="2:10">
      <c r="B290" s="790"/>
      <c r="C290" s="790"/>
      <c r="D290" s="638"/>
      <c r="E290" s="308"/>
      <c r="F290" s="309"/>
      <c r="G290" s="309"/>
      <c r="H290" s="308"/>
      <c r="I290" s="313"/>
      <c r="J290" s="790"/>
    </row>
    <row r="291" spans="2:10">
      <c r="B291" s="788"/>
      <c r="C291" s="788"/>
      <c r="D291" s="636"/>
      <c r="E291" s="306"/>
      <c r="F291" s="310"/>
      <c r="G291" s="310"/>
      <c r="H291" s="306"/>
      <c r="I291" s="311"/>
      <c r="J291" s="788"/>
    </row>
    <row r="292" spans="2:10">
      <c r="B292" s="789"/>
      <c r="C292" s="789"/>
      <c r="D292" s="637"/>
      <c r="E292" s="307"/>
      <c r="F292" s="307"/>
      <c r="G292" s="307"/>
      <c r="H292" s="307">
        <f t="shared" ref="H292" si="157">IF(SUM(F292:G292)&gt;0,AVERAGE(F292:G292),0)</f>
        <v>0</v>
      </c>
      <c r="I292" s="312">
        <f t="shared" ref="I292" si="158">+IF(AND(E292&gt;0,H292=0),E292,IF(AND(E292=0,H292&gt;0),H292,0))</f>
        <v>0</v>
      </c>
      <c r="J292" s="789"/>
    </row>
    <row r="293" spans="2:10">
      <c r="B293" s="790"/>
      <c r="C293" s="790"/>
      <c r="D293" s="638"/>
      <c r="E293" s="308"/>
      <c r="F293" s="309"/>
      <c r="G293" s="309"/>
      <c r="H293" s="308"/>
      <c r="I293" s="313"/>
      <c r="J293" s="790"/>
    </row>
    <row r="294" spans="2:10">
      <c r="B294" s="788"/>
      <c r="C294" s="788"/>
      <c r="D294" s="636"/>
      <c r="E294" s="306"/>
      <c r="F294" s="310"/>
      <c r="G294" s="310"/>
      <c r="H294" s="306"/>
      <c r="I294" s="311"/>
      <c r="J294" s="788"/>
    </row>
    <row r="295" spans="2:10">
      <c r="B295" s="789"/>
      <c r="C295" s="789"/>
      <c r="D295" s="637"/>
      <c r="E295" s="307"/>
      <c r="F295" s="307"/>
      <c r="G295" s="307"/>
      <c r="H295" s="307">
        <f t="shared" ref="H295" si="159">IF(SUM(F295:G295)&gt;0,AVERAGE(F295:G295),0)</f>
        <v>0</v>
      </c>
      <c r="I295" s="312">
        <f t="shared" ref="I295" si="160">+IF(AND(E295&gt;0,H295=0),E295,IF(AND(E295=0,H295&gt;0),H295,0))</f>
        <v>0</v>
      </c>
      <c r="J295" s="789"/>
    </row>
    <row r="296" spans="2:10">
      <c r="B296" s="790"/>
      <c r="C296" s="790"/>
      <c r="D296" s="638"/>
      <c r="E296" s="308"/>
      <c r="F296" s="309"/>
      <c r="G296" s="309"/>
      <c r="H296" s="308"/>
      <c r="I296" s="313"/>
      <c r="J296" s="790"/>
    </row>
    <row r="297" spans="2:10">
      <c r="B297" s="792"/>
      <c r="C297" s="788"/>
      <c r="D297" s="636"/>
      <c r="E297" s="306"/>
      <c r="F297" s="310"/>
      <c r="G297" s="310"/>
      <c r="H297" s="306"/>
      <c r="I297" s="311"/>
      <c r="J297" s="788"/>
    </row>
    <row r="298" spans="2:10">
      <c r="B298" s="789"/>
      <c r="C298" s="789"/>
      <c r="D298" s="637"/>
      <c r="E298" s="307"/>
      <c r="F298" s="307"/>
      <c r="G298" s="307"/>
      <c r="H298" s="307">
        <f t="shared" ref="H298" si="161">IF(SUM(F298:G298)&gt;0,AVERAGE(F298:G298),0)</f>
        <v>0</v>
      </c>
      <c r="I298" s="312">
        <f t="shared" ref="I298" si="162">+IF(AND(E298&gt;0,H298=0),E298,IF(AND(E298=0,H298&gt;0),H298,0))</f>
        <v>0</v>
      </c>
      <c r="J298" s="789"/>
    </row>
    <row r="299" spans="2:10">
      <c r="B299" s="790"/>
      <c r="C299" s="790"/>
      <c r="D299" s="638"/>
      <c r="E299" s="308"/>
      <c r="F299" s="309"/>
      <c r="G299" s="309"/>
      <c r="H299" s="308"/>
      <c r="I299" s="313"/>
      <c r="J299" s="790"/>
    </row>
    <row r="300" spans="2:10">
      <c r="B300" s="788"/>
      <c r="C300" s="792"/>
      <c r="D300" s="636"/>
      <c r="E300" s="306"/>
      <c r="F300" s="310"/>
      <c r="G300" s="310"/>
      <c r="H300" s="306"/>
      <c r="I300" s="311"/>
      <c r="J300" s="788"/>
    </row>
    <row r="301" spans="2:10">
      <c r="B301" s="789"/>
      <c r="C301" s="789"/>
      <c r="D301" s="637"/>
      <c r="E301" s="307"/>
      <c r="F301" s="307"/>
      <c r="G301" s="307"/>
      <c r="H301" s="307">
        <f t="shared" ref="H301" si="163">IF(SUM(F301:G301)&gt;0,AVERAGE(F301:G301),0)</f>
        <v>0</v>
      </c>
      <c r="I301" s="312">
        <f t="shared" ref="I301" si="164">+IF(AND(E301&gt;0,H301=0),E301,IF(AND(E301=0,H301&gt;0),H301,0))</f>
        <v>0</v>
      </c>
      <c r="J301" s="789"/>
    </row>
    <row r="302" spans="2:10">
      <c r="B302" s="790"/>
      <c r="C302" s="790"/>
      <c r="D302" s="638"/>
      <c r="E302" s="308"/>
      <c r="F302" s="309"/>
      <c r="G302" s="309"/>
      <c r="H302" s="308"/>
      <c r="I302" s="313"/>
      <c r="J302" s="790"/>
    </row>
  </sheetData>
  <mergeCells count="390">
    <mergeCell ref="B4:B5"/>
    <mergeCell ref="C4:C5"/>
    <mergeCell ref="J4:J5"/>
    <mergeCell ref="I4:I5"/>
    <mergeCell ref="F4:H4"/>
    <mergeCell ref="D9:D11"/>
    <mergeCell ref="D4:D5"/>
    <mergeCell ref="B9:B11"/>
    <mergeCell ref="C9:C11"/>
    <mergeCell ref="J9:J11"/>
    <mergeCell ref="D6:D8"/>
    <mergeCell ref="J6:J8"/>
    <mergeCell ref="B15:B17"/>
    <mergeCell ref="C15:C17"/>
    <mergeCell ref="D15:D17"/>
    <mergeCell ref="J15:J17"/>
    <mergeCell ref="B18:B20"/>
    <mergeCell ref="C18:C20"/>
    <mergeCell ref="D18:D20"/>
    <mergeCell ref="J18:J20"/>
    <mergeCell ref="B12:B14"/>
    <mergeCell ref="C12:C14"/>
    <mergeCell ref="D12:D14"/>
    <mergeCell ref="J12:J14"/>
    <mergeCell ref="B21:B23"/>
    <mergeCell ref="C21:C23"/>
    <mergeCell ref="D21:D23"/>
    <mergeCell ref="J21:J23"/>
    <mergeCell ref="B24:B26"/>
    <mergeCell ref="C24:C26"/>
    <mergeCell ref="D24:D26"/>
    <mergeCell ref="J24:J26"/>
    <mergeCell ref="D39:D41"/>
    <mergeCell ref="J39:J41"/>
    <mergeCell ref="B33:B35"/>
    <mergeCell ref="C33:C35"/>
    <mergeCell ref="D33:D35"/>
    <mergeCell ref="J33:J35"/>
    <mergeCell ref="B36:B38"/>
    <mergeCell ref="C36:C38"/>
    <mergeCell ref="D36:D38"/>
    <mergeCell ref="J36:J38"/>
    <mergeCell ref="B27:B29"/>
    <mergeCell ref="C27:C29"/>
    <mergeCell ref="D27:D29"/>
    <mergeCell ref="J27:J29"/>
    <mergeCell ref="B30:B32"/>
    <mergeCell ref="C30:C32"/>
    <mergeCell ref="D180:D182"/>
    <mergeCell ref="J180:J182"/>
    <mergeCell ref="B150:B152"/>
    <mergeCell ref="C150:C152"/>
    <mergeCell ref="D150:D152"/>
    <mergeCell ref="J150:J152"/>
    <mergeCell ref="B156:B158"/>
    <mergeCell ref="C156:C158"/>
    <mergeCell ref="B102:B104"/>
    <mergeCell ref="C102:C104"/>
    <mergeCell ref="D102:D104"/>
    <mergeCell ref="J102:J104"/>
    <mergeCell ref="D141:D143"/>
    <mergeCell ref="J141:J143"/>
    <mergeCell ref="B144:B146"/>
    <mergeCell ref="C144:C146"/>
    <mergeCell ref="D144:D146"/>
    <mergeCell ref="J144:J146"/>
    <mergeCell ref="B129:B131"/>
    <mergeCell ref="C129:C131"/>
    <mergeCell ref="D129:D131"/>
    <mergeCell ref="J129:J131"/>
    <mergeCell ref="B132:B134"/>
    <mergeCell ref="C132:C134"/>
    <mergeCell ref="B216:B218"/>
    <mergeCell ref="C216:C218"/>
    <mergeCell ref="B159:B161"/>
    <mergeCell ref="C159:C161"/>
    <mergeCell ref="D159:D161"/>
    <mergeCell ref="J159:J161"/>
    <mergeCell ref="B162:B164"/>
    <mergeCell ref="C162:C164"/>
    <mergeCell ref="D162:D164"/>
    <mergeCell ref="J162:J164"/>
    <mergeCell ref="B186:B188"/>
    <mergeCell ref="C186:C188"/>
    <mergeCell ref="D186:D188"/>
    <mergeCell ref="J186:J188"/>
    <mergeCell ref="B174:B176"/>
    <mergeCell ref="C174:C176"/>
    <mergeCell ref="D174:D176"/>
    <mergeCell ref="J174:J176"/>
    <mergeCell ref="B171:B173"/>
    <mergeCell ref="C171:C173"/>
    <mergeCell ref="D171:D173"/>
    <mergeCell ref="J171:J173"/>
    <mergeCell ref="B180:B182"/>
    <mergeCell ref="C180:C182"/>
    <mergeCell ref="B201:B203"/>
    <mergeCell ref="C201:C203"/>
    <mergeCell ref="D201:D203"/>
    <mergeCell ref="J201:J203"/>
    <mergeCell ref="B207:B209"/>
    <mergeCell ref="C207:C209"/>
    <mergeCell ref="D207:D209"/>
    <mergeCell ref="J207:J209"/>
    <mergeCell ref="B213:B215"/>
    <mergeCell ref="C213:C215"/>
    <mergeCell ref="D213:D215"/>
    <mergeCell ref="J213:J215"/>
    <mergeCell ref="J264:J266"/>
    <mergeCell ref="J267:J269"/>
    <mergeCell ref="B270:B272"/>
    <mergeCell ref="C270:C272"/>
    <mergeCell ref="D270:D272"/>
    <mergeCell ref="J270:J272"/>
    <mergeCell ref="J252:J254"/>
    <mergeCell ref="J258:J260"/>
    <mergeCell ref="J261:J263"/>
    <mergeCell ref="J255:J257"/>
    <mergeCell ref="B252:B254"/>
    <mergeCell ref="C252:C254"/>
    <mergeCell ref="D252:D254"/>
    <mergeCell ref="B264:B266"/>
    <mergeCell ref="C264:C266"/>
    <mergeCell ref="D264:D266"/>
    <mergeCell ref="B267:B269"/>
    <mergeCell ref="C267:C269"/>
    <mergeCell ref="D267:D269"/>
    <mergeCell ref="B255:B257"/>
    <mergeCell ref="C255:C257"/>
    <mergeCell ref="D255:D257"/>
    <mergeCell ref="B258:B260"/>
    <mergeCell ref="C258:C260"/>
    <mergeCell ref="B273:B275"/>
    <mergeCell ref="C273:C275"/>
    <mergeCell ref="D273:D275"/>
    <mergeCell ref="J273:J275"/>
    <mergeCell ref="B276:B278"/>
    <mergeCell ref="C276:C278"/>
    <mergeCell ref="D276:D278"/>
    <mergeCell ref="J276:J278"/>
    <mergeCell ref="B279:B281"/>
    <mergeCell ref="C279:C281"/>
    <mergeCell ref="D279:D281"/>
    <mergeCell ref="J279:J281"/>
    <mergeCell ref="D282:D284"/>
    <mergeCell ref="J282:J284"/>
    <mergeCell ref="B285:B287"/>
    <mergeCell ref="C285:C287"/>
    <mergeCell ref="D285:D287"/>
    <mergeCell ref="J285:J287"/>
    <mergeCell ref="B288:B290"/>
    <mergeCell ref="C288:C290"/>
    <mergeCell ref="D288:D290"/>
    <mergeCell ref="J288:J290"/>
    <mergeCell ref="B282:B284"/>
    <mergeCell ref="C282:C284"/>
    <mergeCell ref="B300:B302"/>
    <mergeCell ref="C300:C302"/>
    <mergeCell ref="D300:D302"/>
    <mergeCell ref="J300:J302"/>
    <mergeCell ref="B291:B293"/>
    <mergeCell ref="C291:C293"/>
    <mergeCell ref="D291:D293"/>
    <mergeCell ref="J291:J293"/>
    <mergeCell ref="B294:B296"/>
    <mergeCell ref="C294:C296"/>
    <mergeCell ref="D294:D296"/>
    <mergeCell ref="J294:J296"/>
    <mergeCell ref="B297:B299"/>
    <mergeCell ref="C297:C299"/>
    <mergeCell ref="D297:D299"/>
    <mergeCell ref="J297:J299"/>
    <mergeCell ref="B147:B149"/>
    <mergeCell ref="C147:C149"/>
    <mergeCell ref="D147:D149"/>
    <mergeCell ref="J147:J149"/>
    <mergeCell ref="B153:B155"/>
    <mergeCell ref="C153:C155"/>
    <mergeCell ref="D153:D155"/>
    <mergeCell ref="J153:J155"/>
    <mergeCell ref="B195:B197"/>
    <mergeCell ref="C195:C197"/>
    <mergeCell ref="D195:D197"/>
    <mergeCell ref="J195:J197"/>
    <mergeCell ref="B183:B185"/>
    <mergeCell ref="C183:C185"/>
    <mergeCell ref="D183:D185"/>
    <mergeCell ref="J183:J185"/>
    <mergeCell ref="D156:D158"/>
    <mergeCell ref="J156:J158"/>
    <mergeCell ref="B189:B191"/>
    <mergeCell ref="C189:C191"/>
    <mergeCell ref="D189:D191"/>
    <mergeCell ref="J189:J191"/>
    <mergeCell ref="B177:B179"/>
    <mergeCell ref="C177:C179"/>
    <mergeCell ref="D138:D140"/>
    <mergeCell ref="J138:J140"/>
    <mergeCell ref="B69:B71"/>
    <mergeCell ref="C69:C71"/>
    <mergeCell ref="D69:D71"/>
    <mergeCell ref="J69:J71"/>
    <mergeCell ref="B108:B110"/>
    <mergeCell ref="C108:C110"/>
    <mergeCell ref="D108:D110"/>
    <mergeCell ref="J108:J110"/>
    <mergeCell ref="B99:B101"/>
    <mergeCell ref="C99:C101"/>
    <mergeCell ref="D99:D101"/>
    <mergeCell ref="J99:J101"/>
    <mergeCell ref="B84:B86"/>
    <mergeCell ref="C84:C86"/>
    <mergeCell ref="D84:D86"/>
    <mergeCell ref="J84:J86"/>
    <mergeCell ref="D132:D134"/>
    <mergeCell ref="J132:J134"/>
    <mergeCell ref="B72:B74"/>
    <mergeCell ref="C72:C74"/>
    <mergeCell ref="D105:D107"/>
    <mergeCell ref="J105:J107"/>
    <mergeCell ref="B45:B47"/>
    <mergeCell ref="C45:C47"/>
    <mergeCell ref="D45:D47"/>
    <mergeCell ref="J45:J47"/>
    <mergeCell ref="B48:B50"/>
    <mergeCell ref="C48:C50"/>
    <mergeCell ref="D48:D50"/>
    <mergeCell ref="J48:J50"/>
    <mergeCell ref="B51:B53"/>
    <mergeCell ref="C51:C53"/>
    <mergeCell ref="D30:D32"/>
    <mergeCell ref="J30:J32"/>
    <mergeCell ref="B42:B44"/>
    <mergeCell ref="C42:C44"/>
    <mergeCell ref="D42:D44"/>
    <mergeCell ref="J42:J44"/>
    <mergeCell ref="B87:B89"/>
    <mergeCell ref="C87:C89"/>
    <mergeCell ref="D87:D89"/>
    <mergeCell ref="J87:J89"/>
    <mergeCell ref="B78:B80"/>
    <mergeCell ref="C78:C80"/>
    <mergeCell ref="D51:D53"/>
    <mergeCell ref="J51:J53"/>
    <mergeCell ref="B57:B59"/>
    <mergeCell ref="C57:C59"/>
    <mergeCell ref="D57:D59"/>
    <mergeCell ref="J57:J59"/>
    <mergeCell ref="B60:B62"/>
    <mergeCell ref="C60:C62"/>
    <mergeCell ref="D60:D62"/>
    <mergeCell ref="J60:J62"/>
    <mergeCell ref="D54:D56"/>
    <mergeCell ref="J54:J56"/>
    <mergeCell ref="B222:B224"/>
    <mergeCell ref="C222:C224"/>
    <mergeCell ref="D222:D224"/>
    <mergeCell ref="J222:J224"/>
    <mergeCell ref="B63:B65"/>
    <mergeCell ref="C63:C65"/>
    <mergeCell ref="D63:D65"/>
    <mergeCell ref="J63:J65"/>
    <mergeCell ref="B66:B68"/>
    <mergeCell ref="C66:C68"/>
    <mergeCell ref="D66:D68"/>
    <mergeCell ref="J66:J68"/>
    <mergeCell ref="B81:B83"/>
    <mergeCell ref="C81:C83"/>
    <mergeCell ref="D81:D83"/>
    <mergeCell ref="J81:J83"/>
    <mergeCell ref="D72:D74"/>
    <mergeCell ref="J72:J74"/>
    <mergeCell ref="D78:D80"/>
    <mergeCell ref="J78:J80"/>
    <mergeCell ref="B75:B77"/>
    <mergeCell ref="C75:C77"/>
    <mergeCell ref="B105:B107"/>
    <mergeCell ref="C105:C107"/>
    <mergeCell ref="D258:D260"/>
    <mergeCell ref="B261:B263"/>
    <mergeCell ref="C261:C263"/>
    <mergeCell ref="D261:D263"/>
    <mergeCell ref="J237:J239"/>
    <mergeCell ref="B231:B233"/>
    <mergeCell ref="C231:C233"/>
    <mergeCell ref="D231:D233"/>
    <mergeCell ref="J231:J233"/>
    <mergeCell ref="B246:B248"/>
    <mergeCell ref="C246:C248"/>
    <mergeCell ref="D246:D248"/>
    <mergeCell ref="J246:J248"/>
    <mergeCell ref="J234:J236"/>
    <mergeCell ref="C234:C236"/>
    <mergeCell ref="D234:D236"/>
    <mergeCell ref="B243:B245"/>
    <mergeCell ref="C243:C245"/>
    <mergeCell ref="J249:J251"/>
    <mergeCell ref="B240:B242"/>
    <mergeCell ref="B249:B251"/>
    <mergeCell ref="C249:C251"/>
    <mergeCell ref="D249:D251"/>
    <mergeCell ref="B234:B236"/>
    <mergeCell ref="B111:B113"/>
    <mergeCell ref="C111:C113"/>
    <mergeCell ref="D111:D113"/>
    <mergeCell ref="J111:J113"/>
    <mergeCell ref="D75:D77"/>
    <mergeCell ref="J75:J77"/>
    <mergeCell ref="B90:B92"/>
    <mergeCell ref="C90:C92"/>
    <mergeCell ref="D90:D92"/>
    <mergeCell ref="J90:J92"/>
    <mergeCell ref="B96:B98"/>
    <mergeCell ref="C96:C98"/>
    <mergeCell ref="D96:D98"/>
    <mergeCell ref="J96:J98"/>
    <mergeCell ref="D93:D95"/>
    <mergeCell ref="J93:J95"/>
    <mergeCell ref="D243:D245"/>
    <mergeCell ref="B237:B239"/>
    <mergeCell ref="C237:C239"/>
    <mergeCell ref="D237:D239"/>
    <mergeCell ref="B198:B200"/>
    <mergeCell ref="C198:C200"/>
    <mergeCell ref="D198:D200"/>
    <mergeCell ref="J198:J200"/>
    <mergeCell ref="C240:C242"/>
    <mergeCell ref="D240:D242"/>
    <mergeCell ref="J240:J242"/>
    <mergeCell ref="J243:J245"/>
    <mergeCell ref="B228:B230"/>
    <mergeCell ref="C228:C230"/>
    <mergeCell ref="D228:D230"/>
    <mergeCell ref="J228:J230"/>
    <mergeCell ref="B210:B212"/>
    <mergeCell ref="C210:C212"/>
    <mergeCell ref="D210:D212"/>
    <mergeCell ref="J210:J212"/>
    <mergeCell ref="B204:B206"/>
    <mergeCell ref="C204:C206"/>
    <mergeCell ref="D204:D206"/>
    <mergeCell ref="J204:J206"/>
    <mergeCell ref="B225:B227"/>
    <mergeCell ref="C225:C227"/>
    <mergeCell ref="D225:D227"/>
    <mergeCell ref="J225:J227"/>
    <mergeCell ref="B219:B221"/>
    <mergeCell ref="C219:C221"/>
    <mergeCell ref="B165:B167"/>
    <mergeCell ref="C165:C167"/>
    <mergeCell ref="D165:D167"/>
    <mergeCell ref="J165:J167"/>
    <mergeCell ref="D216:D218"/>
    <mergeCell ref="J216:J218"/>
    <mergeCell ref="B168:B170"/>
    <mergeCell ref="C168:C170"/>
    <mergeCell ref="D168:D170"/>
    <mergeCell ref="J168:J170"/>
    <mergeCell ref="D177:D179"/>
    <mergeCell ref="J177:J179"/>
    <mergeCell ref="D219:D221"/>
    <mergeCell ref="J219:J221"/>
    <mergeCell ref="B192:B194"/>
    <mergeCell ref="C192:C194"/>
    <mergeCell ref="D192:D194"/>
    <mergeCell ref="J192:J194"/>
    <mergeCell ref="B141:B143"/>
    <mergeCell ref="C141:C143"/>
    <mergeCell ref="D117:D119"/>
    <mergeCell ref="J117:J119"/>
    <mergeCell ref="B120:B122"/>
    <mergeCell ref="C120:C122"/>
    <mergeCell ref="D120:D122"/>
    <mergeCell ref="J120:J122"/>
    <mergeCell ref="B117:B119"/>
    <mergeCell ref="C117:C119"/>
    <mergeCell ref="D126:D128"/>
    <mergeCell ref="J126:J128"/>
    <mergeCell ref="D123:D125"/>
    <mergeCell ref="J123:J125"/>
    <mergeCell ref="B123:B125"/>
    <mergeCell ref="C123:C125"/>
    <mergeCell ref="B126:B128"/>
    <mergeCell ref="C126:C128"/>
    <mergeCell ref="B135:B137"/>
    <mergeCell ref="C135:C137"/>
    <mergeCell ref="D135:D137"/>
    <mergeCell ref="J135:J137"/>
    <mergeCell ref="B138:B140"/>
    <mergeCell ref="C138:C140"/>
  </mergeCells>
  <phoneticPr fontId="3"/>
  <hyperlinks>
    <hyperlink ref="A1" location="menu!A1" display="menu" xr:uid="{00000000-0004-0000-2C00-000000000000}"/>
  </hyperlinks>
  <printOptions horizontalCentered="1"/>
  <pageMargins left="0.78740157480314965" right="0.19685039370078741" top="0.59055118110236227" bottom="0.39370078740157483" header="0.31496062992125984" footer="0"/>
  <pageSetup paperSize="9" scale="81" fitToHeight="0" orientation="portrait" errors="blank" r:id="rId1"/>
  <headerFooter>
    <oddFooter>&amp;C&amp;P</oddFooter>
  </headerFooter>
  <rowBreaks count="5" manualBreakCount="5">
    <brk id="53" min="1" max="9" man="1"/>
    <brk id="101" min="1" max="9" man="1"/>
    <brk id="149" min="1" max="9" man="1"/>
    <brk id="197" min="1" max="9" man="1"/>
    <brk id="245"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49</vt:i4>
      </vt:variant>
    </vt:vector>
  </HeadingPairs>
  <TitlesOfParts>
    <vt:vector size="87" baseType="lpstr">
      <vt:lpstr>menu</vt:lpstr>
      <vt:lpstr>表紙</vt:lpstr>
      <vt:lpstr>本工事費内訳書</vt:lpstr>
      <vt:lpstr>施行経費内訳（合算）</vt:lpstr>
      <vt:lpstr>表紙(機械)</vt:lpstr>
      <vt:lpstr>内訳(機械)</vt:lpstr>
      <vt:lpstr>表紙(電気)</vt:lpstr>
      <vt:lpstr>内訳(電気)</vt:lpstr>
      <vt:lpstr>変更総括</vt:lpstr>
      <vt:lpstr>設計概要</vt:lpstr>
      <vt:lpstr>本工事費内訳書 </vt:lpstr>
      <vt:lpstr>補単内訳書 </vt:lpstr>
      <vt:lpstr>施行経費内訳 (単独)</vt:lpstr>
      <vt:lpstr>表紙(機械)補助</vt:lpstr>
      <vt:lpstr>概要(機械)補助</vt:lpstr>
      <vt:lpstr>内訳(機械)補助</vt:lpstr>
      <vt:lpstr>明細(機械)補助</vt:lpstr>
      <vt:lpstr>概要(機械)単独</vt:lpstr>
      <vt:lpstr>表紙(機械)単独</vt:lpstr>
      <vt:lpstr>内訳(機械)単独</vt:lpstr>
      <vt:lpstr>明細(機械)単独</vt:lpstr>
      <vt:lpstr>集計(機械)単独</vt:lpstr>
      <vt:lpstr>数量(機械)単独</vt:lpstr>
      <vt:lpstr>表紙(電気)補助</vt:lpstr>
      <vt:lpstr>概要(電気)補助</vt:lpstr>
      <vt:lpstr>内訳(電気)補助</vt:lpstr>
      <vt:lpstr>明細(電気)補助</vt:lpstr>
      <vt:lpstr>数量2-2(電気)</vt:lpstr>
      <vt:lpstr>表紙(土木)</vt:lpstr>
      <vt:lpstr>数量(土木)</vt:lpstr>
      <vt:lpstr>表紙(電気)単独</vt:lpstr>
      <vt:lpstr>概要(電気)単独</vt:lpstr>
      <vt:lpstr>内訳(電気)単独</vt:lpstr>
      <vt:lpstr>明細(電気) 単独</vt:lpstr>
      <vt:lpstr>集計(電気)単独</vt:lpstr>
      <vt:lpstr>数量1(電気)単独</vt:lpstr>
      <vt:lpstr>数量2-1(電気) 単独</vt:lpstr>
      <vt:lpstr>資材単価</vt:lpstr>
      <vt:lpstr>'概要(機械)単独'!Print_Area</vt:lpstr>
      <vt:lpstr>'概要(機械)補助'!Print_Area</vt:lpstr>
      <vt:lpstr>'概要(電気)単独'!Print_Area</vt:lpstr>
      <vt:lpstr>'概要(電気)補助'!Print_Area</vt:lpstr>
      <vt:lpstr>'施行経費内訳 (単独)'!Print_Area</vt:lpstr>
      <vt:lpstr>'施行経費内訳（合算）'!Print_Area</vt:lpstr>
      <vt:lpstr>資材単価!Print_Area</vt:lpstr>
      <vt:lpstr>'集計(機械)単独'!Print_Area</vt:lpstr>
      <vt:lpstr>'集計(電気)単独'!Print_Area</vt:lpstr>
      <vt:lpstr>'数量(機械)単独'!Print_Area</vt:lpstr>
      <vt:lpstr>'数量(土木)'!Print_Area</vt:lpstr>
      <vt:lpstr>'数量1(電気)単独'!Print_Area</vt:lpstr>
      <vt:lpstr>'数量2-1(電気) 単独'!Print_Area</vt:lpstr>
      <vt:lpstr>'数量2-2(電気)'!Print_Area</vt:lpstr>
      <vt:lpstr>設計概要!Print_Area</vt:lpstr>
      <vt:lpstr>'内訳(機械)'!Print_Area</vt:lpstr>
      <vt:lpstr>'内訳(機械)単独'!Print_Area</vt:lpstr>
      <vt:lpstr>'内訳(機械)補助'!Print_Area</vt:lpstr>
      <vt:lpstr>'内訳(電気)'!Print_Area</vt:lpstr>
      <vt:lpstr>'内訳(電気)単独'!Print_Area</vt:lpstr>
      <vt:lpstr>'内訳(電気)補助'!Print_Area</vt:lpstr>
      <vt:lpstr>表紙!Print_Area</vt:lpstr>
      <vt:lpstr>'表紙(機械)'!Print_Area</vt:lpstr>
      <vt:lpstr>'表紙(機械)単独'!Print_Area</vt:lpstr>
      <vt:lpstr>'表紙(機械)補助'!Print_Area</vt:lpstr>
      <vt:lpstr>'表紙(電気)'!Print_Area</vt:lpstr>
      <vt:lpstr>'表紙(電気)単独'!Print_Area</vt:lpstr>
      <vt:lpstr>'表紙(電気)補助'!Print_Area</vt:lpstr>
      <vt:lpstr>'表紙(土木)'!Print_Area</vt:lpstr>
      <vt:lpstr>変更総括!Print_Area</vt:lpstr>
      <vt:lpstr>'補単内訳書 '!Print_Area</vt:lpstr>
      <vt:lpstr>本工事費内訳書!Print_Area</vt:lpstr>
      <vt:lpstr>'本工事費内訳書 '!Print_Area</vt:lpstr>
      <vt:lpstr>'明細(機械)単独'!Print_Area</vt:lpstr>
      <vt:lpstr>'明細(機械)補助'!Print_Area</vt:lpstr>
      <vt:lpstr>'明細(電気) 単独'!Print_Area</vt:lpstr>
      <vt:lpstr>'明細(電気)補助'!Print_Area</vt:lpstr>
      <vt:lpstr>'概要(機械)単独'!Print_Titles</vt:lpstr>
      <vt:lpstr>'概要(機械)補助'!Print_Titles</vt:lpstr>
      <vt:lpstr>'概要(電気)単独'!Print_Titles</vt:lpstr>
      <vt:lpstr>'概要(電気)補助'!Print_Titles</vt:lpstr>
      <vt:lpstr>資材単価!Print_Titles</vt:lpstr>
      <vt:lpstr>設計概要!Print_Titles</vt:lpstr>
      <vt:lpstr>'内訳(機械)'!Print_Titles</vt:lpstr>
      <vt:lpstr>'内訳(機械)単独'!Print_Titles</vt:lpstr>
      <vt:lpstr>'内訳(機械)補助'!Print_Titles</vt:lpstr>
      <vt:lpstr>'内訳(電気)'!Print_Titles</vt:lpstr>
      <vt:lpstr>'内訳(電気)単独'!Print_Titles</vt:lpstr>
      <vt:lpstr>'内訳(電気)補助'!Print_Titles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c:creator>
  <cp:lastModifiedBy>P2110</cp:lastModifiedBy>
  <cp:lastPrinted>2025-07-24T07:25:52Z</cp:lastPrinted>
  <dcterms:created xsi:type="dcterms:W3CDTF">2020-09-08T00:42:09Z</dcterms:created>
  <dcterms:modified xsi:type="dcterms:W3CDTF">2025-07-28T00:49:54Z</dcterms:modified>
</cp:coreProperties>
</file>