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A3355\Desktop\"/>
    </mc:Choice>
  </mc:AlternateContent>
  <xr:revisionPtr revIDLastSave="0" documentId="13_ncr:1_{75FDF4F0-CC25-49BA-8B3D-898A55DFA09C}" xr6:coauthVersionLast="36" xr6:coauthVersionMax="36" xr10:uidLastSave="{00000000-0000-0000-0000-000000000000}"/>
  <bookViews>
    <workbookView xWindow="0" yWindow="0" windowWidth="28800" windowHeight="11970" activeTab="1" xr2:uid="{4EDF5D13-75F9-430C-9C23-61ADA8821A14}"/>
  </bookViews>
  <sheets>
    <sheet name="使い方" sheetId="1" r:id="rId1"/>
    <sheet name="あなたの所得控除情報" sheetId="2" r:id="rId2"/>
    <sheet name="申告計算" sheetId="4" r:id="rId3"/>
    <sheet name="シミュレーター" sheetId="20" r:id="rId4"/>
    <sheet name="給与所得計算" sheetId="3" r:id="rId5"/>
    <sheet name="年金所得計算" sheetId="5" r:id="rId6"/>
    <sheet name="生命保険料控除" sheetId="6" r:id="rId7"/>
    <sheet name="地震保険料控除" sheetId="7" r:id="rId8"/>
    <sheet name="寡婦ひとり親控除" sheetId="8" r:id="rId9"/>
    <sheet name="障害者控除" sheetId="13" r:id="rId10"/>
    <sheet name="勤労学生控除" sheetId="14" r:id="rId11"/>
    <sheet name="配偶者控除(配偶者特別控除)" sheetId="10" r:id="rId12"/>
    <sheet name="扶養控除" sheetId="9" r:id="rId13"/>
    <sheet name="基礎控除" sheetId="11" r:id="rId14"/>
    <sheet name="医療費控除" sheetId="12" r:id="rId15"/>
    <sheet name="寄附金控除" sheetId="15" r:id="rId16"/>
    <sheet name="所得税率管理" sheetId="16" r:id="rId17"/>
    <sheet name="申告特例控除率管理" sheetId="19" r:id="rId18"/>
    <sheet name="住民税非課税判定額" sheetId="17"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3" l="1"/>
  <c r="B8" i="3"/>
  <c r="J5" i="5" l="1"/>
  <c r="J6" i="5"/>
  <c r="J7" i="5"/>
  <c r="J8" i="5"/>
  <c r="J9" i="5"/>
  <c r="J10" i="5"/>
  <c r="J11" i="5"/>
  <c r="J12" i="5"/>
  <c r="J13" i="5"/>
  <c r="J4" i="5"/>
  <c r="F3" i="5"/>
  <c r="D3" i="20" l="1"/>
  <c r="X2" i="4" s="1"/>
  <c r="E20" i="20"/>
  <c r="F20" i="20"/>
  <c r="G20" i="20"/>
  <c r="H20" i="20"/>
  <c r="I20" i="20"/>
  <c r="J20" i="20"/>
  <c r="K20" i="20"/>
  <c r="L20" i="20"/>
  <c r="M20" i="20"/>
  <c r="N20" i="20"/>
  <c r="O20" i="20"/>
  <c r="P20" i="20"/>
  <c r="Q20" i="20"/>
  <c r="R20" i="20"/>
  <c r="S20" i="20"/>
  <c r="T20" i="20"/>
  <c r="U20" i="20"/>
  <c r="V20" i="20"/>
  <c r="W20" i="20"/>
  <c r="X20" i="20"/>
  <c r="D20" i="20"/>
  <c r="K22" i="4"/>
  <c r="K7" i="4"/>
  <c r="K16" i="20" s="1"/>
  <c r="E23" i="20"/>
  <c r="F23" i="20"/>
  <c r="G23" i="20"/>
  <c r="H23" i="20"/>
  <c r="I23" i="20"/>
  <c r="J23" i="20"/>
  <c r="K23" i="20"/>
  <c r="L23" i="20"/>
  <c r="M23" i="20"/>
  <c r="N23" i="20"/>
  <c r="O23" i="20"/>
  <c r="P23" i="20"/>
  <c r="Q23" i="20"/>
  <c r="R23" i="20"/>
  <c r="S23" i="20"/>
  <c r="T23" i="20"/>
  <c r="U23" i="20"/>
  <c r="V23" i="20"/>
  <c r="W23" i="20"/>
  <c r="X23" i="20"/>
  <c r="E24" i="20"/>
  <c r="F24" i="20"/>
  <c r="G24" i="20"/>
  <c r="H24" i="20"/>
  <c r="I24" i="20"/>
  <c r="J24" i="20"/>
  <c r="K24" i="20"/>
  <c r="L24" i="20"/>
  <c r="M24" i="20"/>
  <c r="N24" i="20"/>
  <c r="O24" i="20"/>
  <c r="P24" i="20"/>
  <c r="Q24" i="20"/>
  <c r="R24" i="20"/>
  <c r="S24" i="20"/>
  <c r="T24" i="20"/>
  <c r="U24" i="20"/>
  <c r="V24" i="20"/>
  <c r="W24" i="20"/>
  <c r="X24" i="20"/>
  <c r="D24" i="20"/>
  <c r="D23" i="20"/>
  <c r="E18" i="20"/>
  <c r="F18" i="20"/>
  <c r="G18" i="20"/>
  <c r="H18" i="20"/>
  <c r="I18" i="20"/>
  <c r="J18" i="20"/>
  <c r="K18" i="20"/>
  <c r="L18" i="20"/>
  <c r="M18" i="20"/>
  <c r="N18" i="20"/>
  <c r="O18" i="20"/>
  <c r="P18" i="20"/>
  <c r="Q18" i="20"/>
  <c r="R18" i="20"/>
  <c r="S18" i="20"/>
  <c r="T18" i="20"/>
  <c r="U18" i="20"/>
  <c r="V18" i="20"/>
  <c r="W18" i="20"/>
  <c r="X18" i="20"/>
  <c r="D18" i="20"/>
  <c r="X6" i="20"/>
  <c r="P16" i="20" l="1"/>
  <c r="M16" i="20"/>
  <c r="E16" i="20"/>
  <c r="X16" i="20"/>
  <c r="U16" i="20"/>
  <c r="R16" i="20"/>
  <c r="J16" i="20"/>
  <c r="H16" i="20"/>
  <c r="D16" i="20"/>
  <c r="Q16" i="20"/>
  <c r="I16" i="20"/>
  <c r="W16" i="20"/>
  <c r="O16" i="20"/>
  <c r="G16" i="20"/>
  <c r="V16" i="20"/>
  <c r="N16" i="20"/>
  <c r="F16" i="20"/>
  <c r="T16" i="20"/>
  <c r="L16" i="20"/>
  <c r="S16" i="20"/>
  <c r="E6" i="20"/>
  <c r="F6" i="20"/>
  <c r="G6" i="20"/>
  <c r="H6" i="20"/>
  <c r="I6" i="20"/>
  <c r="J6" i="20"/>
  <c r="K6" i="20"/>
  <c r="L6" i="20"/>
  <c r="M6" i="20"/>
  <c r="N6" i="20"/>
  <c r="O6" i="20"/>
  <c r="P6" i="20"/>
  <c r="Q6" i="20"/>
  <c r="R6" i="20"/>
  <c r="S6" i="20"/>
  <c r="T6" i="20"/>
  <c r="U6" i="20"/>
  <c r="V6" i="20"/>
  <c r="W6" i="20"/>
  <c r="D6" i="20"/>
  <c r="D7" i="20" s="1"/>
  <c r="C6" i="19" l="1"/>
  <c r="C5" i="19"/>
  <c r="C4" i="19"/>
  <c r="C3" i="19"/>
  <c r="C2" i="19"/>
  <c r="A16" i="19"/>
  <c r="A15" i="19"/>
  <c r="A14" i="19"/>
  <c r="A13" i="19"/>
  <c r="A12" i="19"/>
  <c r="A11" i="19"/>
  <c r="A10" i="19"/>
  <c r="A9" i="19"/>
  <c r="A8" i="19"/>
  <c r="A7" i="19"/>
  <c r="A6" i="19"/>
  <c r="A5" i="19"/>
  <c r="A4" i="19"/>
  <c r="A3" i="19"/>
  <c r="A2" i="19"/>
  <c r="P39" i="4" l="1"/>
  <c r="P59" i="4" s="1"/>
  <c r="O39" i="4"/>
  <c r="O59" i="4" s="1"/>
  <c r="P34" i="4"/>
  <c r="P54" i="4" s="1"/>
  <c r="O34" i="4"/>
  <c r="P15" i="4"/>
  <c r="O15" i="4"/>
  <c r="B10" i="17"/>
  <c r="B9" i="17"/>
  <c r="B12" i="17" s="1"/>
  <c r="C4" i="17"/>
  <c r="C5" i="17" s="1"/>
  <c r="C3" i="17"/>
  <c r="K24" i="4"/>
  <c r="K12" i="4"/>
  <c r="K27" i="4" s="1"/>
  <c r="A3" i="16"/>
  <c r="A4" i="16"/>
  <c r="A5" i="16"/>
  <c r="A6" i="16"/>
  <c r="A7" i="16"/>
  <c r="A8" i="16"/>
  <c r="A9" i="16"/>
  <c r="A10" i="16"/>
  <c r="A11" i="16"/>
  <c r="A12" i="16"/>
  <c r="A13" i="16"/>
  <c r="A14" i="16"/>
  <c r="A15" i="16"/>
  <c r="A16" i="16"/>
  <c r="A2" i="16"/>
  <c r="B4" i="15"/>
  <c r="B3" i="15"/>
  <c r="B3" i="14"/>
  <c r="G3" i="14"/>
  <c r="H5" i="13"/>
  <c r="H6" i="13"/>
  <c r="H4" i="13"/>
  <c r="B3" i="13"/>
  <c r="B5" i="13"/>
  <c r="E6" i="13" s="1"/>
  <c r="J6" i="13" s="1"/>
  <c r="B6" i="13"/>
  <c r="B4" i="13"/>
  <c r="H17" i="4"/>
  <c r="H4" i="12"/>
  <c r="B7" i="12"/>
  <c r="B6" i="12"/>
  <c r="H3" i="12" s="1"/>
  <c r="B5" i="12"/>
  <c r="E4" i="12" s="1"/>
  <c r="B4" i="12"/>
  <c r="E3" i="12" s="1"/>
  <c r="G4" i="11"/>
  <c r="G5" i="11"/>
  <c r="G6" i="11"/>
  <c r="G7" i="11"/>
  <c r="G3" i="11"/>
  <c r="D4" i="11"/>
  <c r="D5" i="11"/>
  <c r="D6" i="11"/>
  <c r="D7" i="11"/>
  <c r="D3" i="11"/>
  <c r="L5" i="10"/>
  <c r="L6" i="10"/>
  <c r="L7" i="10"/>
  <c r="L8" i="10"/>
  <c r="L9" i="10"/>
  <c r="L10" i="10"/>
  <c r="L11" i="10"/>
  <c r="L12" i="10"/>
  <c r="O48" i="10" s="1"/>
  <c r="L13" i="10"/>
  <c r="L14" i="10"/>
  <c r="L15" i="10"/>
  <c r="L16" i="10"/>
  <c r="O16" i="10" s="1"/>
  <c r="L17" i="10"/>
  <c r="O35" i="10" s="1"/>
  <c r="L18" i="10"/>
  <c r="O31" i="10"/>
  <c r="Q40" i="10"/>
  <c r="R40" i="10"/>
  <c r="P40" i="10"/>
  <c r="Q39" i="10"/>
  <c r="R39" i="10"/>
  <c r="P39" i="10"/>
  <c r="O41" i="10"/>
  <c r="O42" i="10"/>
  <c r="O43" i="10"/>
  <c r="O32" i="10"/>
  <c r="O51" i="10"/>
  <c r="O36" i="10"/>
  <c r="L4" i="10"/>
  <c r="O22" i="10" s="1"/>
  <c r="O23" i="10"/>
  <c r="O24" i="10"/>
  <c r="O25" i="10"/>
  <c r="Q21" i="10"/>
  <c r="R21" i="10"/>
  <c r="P21" i="10"/>
  <c r="O5" i="10"/>
  <c r="O6" i="10"/>
  <c r="O7" i="10"/>
  <c r="I14" i="10"/>
  <c r="J14" i="10"/>
  <c r="I15" i="10"/>
  <c r="J15" i="10"/>
  <c r="H15" i="10"/>
  <c r="H14" i="10"/>
  <c r="D4" i="10"/>
  <c r="D5" i="10"/>
  <c r="D6" i="10"/>
  <c r="D7" i="10"/>
  <c r="D3" i="10"/>
  <c r="B5" i="10"/>
  <c r="B4" i="10"/>
  <c r="F16" i="4"/>
  <c r="G16" i="4" s="1"/>
  <c r="E5" i="9"/>
  <c r="E6" i="9"/>
  <c r="E7" i="9"/>
  <c r="E8" i="9"/>
  <c r="E9" i="9"/>
  <c r="E4" i="9"/>
  <c r="B5" i="9"/>
  <c r="F5" i="9" s="1"/>
  <c r="B6" i="9"/>
  <c r="F6" i="9" s="1"/>
  <c r="B7" i="9"/>
  <c r="H7" i="9" s="1"/>
  <c r="B8" i="9"/>
  <c r="G8" i="9" s="1"/>
  <c r="B9" i="9"/>
  <c r="F9" i="9" s="1"/>
  <c r="B4" i="9"/>
  <c r="H4" i="9" s="1"/>
  <c r="B6" i="8"/>
  <c r="B7" i="8"/>
  <c r="B5" i="8"/>
  <c r="B3" i="8"/>
  <c r="H3" i="8" s="1"/>
  <c r="E4" i="7"/>
  <c r="E6" i="7" s="1"/>
  <c r="E3" i="7"/>
  <c r="E5" i="7" s="1"/>
  <c r="B5" i="7"/>
  <c r="B6" i="7"/>
  <c r="B9" i="7" s="1"/>
  <c r="B4" i="7"/>
  <c r="B3" i="7"/>
  <c r="Q6" i="6"/>
  <c r="Q7" i="6" s="1"/>
  <c r="Q8" i="6" s="1"/>
  <c r="H6" i="6"/>
  <c r="H7" i="6" s="1"/>
  <c r="H8" i="6" s="1"/>
  <c r="N6" i="6"/>
  <c r="N7" i="6" s="1"/>
  <c r="E6" i="6"/>
  <c r="E7" i="6" s="1"/>
  <c r="N4" i="6"/>
  <c r="N5" i="6" s="1"/>
  <c r="E4" i="6"/>
  <c r="E5" i="6" s="1"/>
  <c r="K6" i="6"/>
  <c r="K7" i="6" s="1"/>
  <c r="B6" i="6"/>
  <c r="B7" i="6" s="1"/>
  <c r="K4" i="6"/>
  <c r="K5" i="6" s="1"/>
  <c r="B4" i="6"/>
  <c r="B5" i="6" s="1"/>
  <c r="F4" i="4"/>
  <c r="G4" i="4" s="1"/>
  <c r="F3" i="4"/>
  <c r="G3" i="4" s="1"/>
  <c r="B8" i="7" l="1"/>
  <c r="B11" i="7" s="1"/>
  <c r="E5" i="12"/>
  <c r="E4" i="15"/>
  <c r="H9" i="9"/>
  <c r="H5" i="12"/>
  <c r="H6" i="12" s="1"/>
  <c r="O54" i="4"/>
  <c r="K30" i="20"/>
  <c r="K58" i="20" s="1"/>
  <c r="S30" i="20"/>
  <c r="S58" i="20" s="1"/>
  <c r="U30" i="20"/>
  <c r="U58" i="20" s="1"/>
  <c r="L30" i="20"/>
  <c r="L58" i="20" s="1"/>
  <c r="T30" i="20"/>
  <c r="T58" i="20" s="1"/>
  <c r="E30" i="20"/>
  <c r="E58" i="20" s="1"/>
  <c r="M30" i="20"/>
  <c r="M58" i="20" s="1"/>
  <c r="F30" i="20"/>
  <c r="F58" i="20" s="1"/>
  <c r="N30" i="20"/>
  <c r="N58" i="20" s="1"/>
  <c r="V30" i="20"/>
  <c r="V58" i="20" s="1"/>
  <c r="G30" i="20"/>
  <c r="G58" i="20" s="1"/>
  <c r="O30" i="20"/>
  <c r="O58" i="20" s="1"/>
  <c r="W30" i="20"/>
  <c r="W58" i="20" s="1"/>
  <c r="P30" i="20"/>
  <c r="P58" i="20" s="1"/>
  <c r="X30" i="20"/>
  <c r="X58" i="20" s="1"/>
  <c r="J30" i="20"/>
  <c r="J58" i="20" s="1"/>
  <c r="H30" i="20"/>
  <c r="H58" i="20" s="1"/>
  <c r="I30" i="20"/>
  <c r="I58" i="20" s="1"/>
  <c r="Q30" i="20"/>
  <c r="Q58" i="20" s="1"/>
  <c r="D30" i="20"/>
  <c r="R30" i="20"/>
  <c r="R58" i="20" s="1"/>
  <c r="F43" i="20"/>
  <c r="F72" i="20" s="1"/>
  <c r="N43" i="20"/>
  <c r="N72" i="20" s="1"/>
  <c r="V43" i="20"/>
  <c r="V72" i="20" s="1"/>
  <c r="P43" i="20"/>
  <c r="P72" i="20" s="1"/>
  <c r="G43" i="20"/>
  <c r="G72" i="20" s="1"/>
  <c r="O43" i="20"/>
  <c r="O72" i="20" s="1"/>
  <c r="W43" i="20"/>
  <c r="W72" i="20" s="1"/>
  <c r="X43" i="20"/>
  <c r="X72" i="20" s="1"/>
  <c r="H43" i="20"/>
  <c r="H72" i="20" s="1"/>
  <c r="I43" i="20"/>
  <c r="I72" i="20" s="1"/>
  <c r="Q43" i="20"/>
  <c r="Q72" i="20" s="1"/>
  <c r="D43" i="20"/>
  <c r="J43" i="20"/>
  <c r="J72" i="20" s="1"/>
  <c r="R43" i="20"/>
  <c r="R72" i="20" s="1"/>
  <c r="K43" i="20"/>
  <c r="K72" i="20" s="1"/>
  <c r="S43" i="20"/>
  <c r="S72" i="20" s="1"/>
  <c r="E43" i="20"/>
  <c r="E72" i="20" s="1"/>
  <c r="L43" i="20"/>
  <c r="L72" i="20" s="1"/>
  <c r="T43" i="20"/>
  <c r="T72" i="20" s="1"/>
  <c r="M43" i="20"/>
  <c r="M72" i="20" s="1"/>
  <c r="U43" i="20"/>
  <c r="U72" i="20" s="1"/>
  <c r="O33" i="4"/>
  <c r="P33" i="4"/>
  <c r="E4" i="13"/>
  <c r="J4" i="13" s="1"/>
  <c r="E8" i="7"/>
  <c r="G6" i="4" s="1"/>
  <c r="B7" i="7"/>
  <c r="B10" i="7" s="1"/>
  <c r="E12" i="15"/>
  <c r="E5" i="13"/>
  <c r="I6" i="13"/>
  <c r="K6" i="13"/>
  <c r="K8" i="6"/>
  <c r="B12" i="7"/>
  <c r="F8" i="9"/>
  <c r="G7" i="9"/>
  <c r="H8" i="9"/>
  <c r="F7" i="9"/>
  <c r="H6" i="9"/>
  <c r="F4" i="9"/>
  <c r="G6" i="9"/>
  <c r="H5" i="9"/>
  <c r="H11" i="9" s="1"/>
  <c r="H13" i="4" s="1"/>
  <c r="G4" i="9"/>
  <c r="G9" i="9"/>
  <c r="G5" i="9"/>
  <c r="O45" i="10"/>
  <c r="O9" i="10"/>
  <c r="O44" i="10"/>
  <c r="O8" i="10"/>
  <c r="O26" i="10"/>
  <c r="O28" i="10"/>
  <c r="O27" i="10"/>
  <c r="O15" i="10"/>
  <c r="O13" i="10"/>
  <c r="O14" i="10"/>
  <c r="O33" i="10"/>
  <c r="O12" i="10"/>
  <c r="O30" i="10"/>
  <c r="O40" i="10"/>
  <c r="O54" i="10"/>
  <c r="O34" i="10"/>
  <c r="O53" i="10"/>
  <c r="O52" i="10"/>
  <c r="O18" i="10"/>
  <c r="O17" i="10"/>
  <c r="O50" i="10"/>
  <c r="O49" i="10"/>
  <c r="O4" i="10"/>
  <c r="B9" i="10"/>
  <c r="N8" i="6"/>
  <c r="B8" i="6"/>
  <c r="E8" i="6"/>
  <c r="F4" i="5"/>
  <c r="F5" i="5"/>
  <c r="F6" i="5"/>
  <c r="F7" i="5"/>
  <c r="F8" i="5"/>
  <c r="B2" i="3"/>
  <c r="B3" i="5"/>
  <c r="B2" i="5"/>
  <c r="D2" i="5" s="1"/>
  <c r="B5" i="4"/>
  <c r="L4" i="5" l="1"/>
  <c r="B10" i="3"/>
  <c r="B11" i="3" s="1"/>
  <c r="B12" i="3" s="1"/>
  <c r="B6" i="4" s="1"/>
  <c r="C6" i="4" s="1"/>
  <c r="L9" i="5"/>
  <c r="M7" i="5"/>
  <c r="B7" i="5"/>
  <c r="N8" i="5"/>
  <c r="N7" i="5"/>
  <c r="M8" i="5"/>
  <c r="L8" i="5"/>
  <c r="L7" i="5"/>
  <c r="N9" i="5"/>
  <c r="M9" i="5"/>
  <c r="N6" i="5"/>
  <c r="M6" i="5"/>
  <c r="L6" i="5"/>
  <c r="B5" i="5"/>
  <c r="N5" i="5"/>
  <c r="M4" i="5"/>
  <c r="N4" i="5"/>
  <c r="M5" i="5"/>
  <c r="L5" i="5"/>
  <c r="D31" i="20"/>
  <c r="D58" i="20"/>
  <c r="D59" i="20" s="1"/>
  <c r="P35" i="4"/>
  <c r="P53" i="4"/>
  <c r="P55" i="4" s="1"/>
  <c r="O35" i="4"/>
  <c r="O53" i="4"/>
  <c r="O55" i="4" s="1"/>
  <c r="D44" i="20"/>
  <c r="D72" i="20"/>
  <c r="D73" i="20" s="1"/>
  <c r="K4" i="13"/>
  <c r="I4" i="13"/>
  <c r="B14" i="7"/>
  <c r="F6" i="4" s="1"/>
  <c r="I5" i="13"/>
  <c r="I10" i="13" s="1"/>
  <c r="F9" i="4" s="1"/>
  <c r="J5" i="13"/>
  <c r="J10" i="13" s="1"/>
  <c r="G9" i="4" s="1"/>
  <c r="K5" i="13"/>
  <c r="G11" i="9"/>
  <c r="G13" i="4" s="1"/>
  <c r="F11" i="9"/>
  <c r="F13" i="4" s="1"/>
  <c r="Q10" i="6"/>
  <c r="G5" i="4" s="1"/>
  <c r="O46" i="10"/>
  <c r="O10" i="10"/>
  <c r="O47" i="10"/>
  <c r="O11" i="10"/>
  <c r="O29" i="10"/>
  <c r="B11" i="10"/>
  <c r="B18" i="10" s="1"/>
  <c r="B10" i="10"/>
  <c r="H10" i="6"/>
  <c r="F5" i="4" s="1"/>
  <c r="C5" i="4"/>
  <c r="F12" i="3"/>
  <c r="F11" i="3"/>
  <c r="F10" i="3"/>
  <c r="F9" i="3"/>
  <c r="F8" i="3"/>
  <c r="B3" i="3"/>
  <c r="B4" i="3" s="1"/>
  <c r="D12" i="3"/>
  <c r="D13" i="3"/>
  <c r="D14" i="3"/>
  <c r="D15" i="3"/>
  <c r="D16" i="3"/>
  <c r="F3" i="3"/>
  <c r="D3" i="3"/>
  <c r="D4" i="3"/>
  <c r="D5" i="3"/>
  <c r="D6" i="3"/>
  <c r="D7" i="3"/>
  <c r="D8" i="3"/>
  <c r="D9" i="3"/>
  <c r="D10" i="3"/>
  <c r="D11" i="3"/>
  <c r="D2" i="3"/>
  <c r="B3" i="4" l="1"/>
  <c r="B4" i="5" s="1"/>
  <c r="B16" i="3"/>
  <c r="K10" i="13"/>
  <c r="H9" i="4" s="1"/>
  <c r="B6" i="5"/>
  <c r="C3" i="4" l="1"/>
  <c r="B8" i="5"/>
  <c r="B17" i="3" s="1"/>
  <c r="B18" i="3" s="1"/>
  <c r="B7" i="4" l="1"/>
  <c r="C7" i="4" s="1"/>
  <c r="B4" i="4"/>
  <c r="B8" i="4" l="1"/>
  <c r="R4" i="20" s="1"/>
  <c r="B5" i="14"/>
  <c r="C4" i="4"/>
  <c r="C8" i="4" s="1"/>
  <c r="P3" i="4" s="1"/>
  <c r="V4" i="20" l="1"/>
  <c r="V8" i="20" s="1"/>
  <c r="U4" i="20"/>
  <c r="U8" i="20" s="1"/>
  <c r="I4" i="20"/>
  <c r="I8" i="20" s="1"/>
  <c r="H4" i="20"/>
  <c r="H8" i="20" s="1"/>
  <c r="B4" i="14"/>
  <c r="H3" i="14" s="1"/>
  <c r="F6" i="14" s="1"/>
  <c r="G10" i="4" s="1"/>
  <c r="T4" i="20"/>
  <c r="T8" i="20" s="1"/>
  <c r="J4" i="20"/>
  <c r="J8" i="20" s="1"/>
  <c r="D4" i="20"/>
  <c r="D8" i="20" s="1"/>
  <c r="D9" i="20" s="1"/>
  <c r="M4" i="20"/>
  <c r="M8" i="20" s="1"/>
  <c r="B3" i="11"/>
  <c r="B4" i="11" s="1"/>
  <c r="H10" i="11" s="1"/>
  <c r="F14" i="4" s="1"/>
  <c r="G4" i="20"/>
  <c r="B3" i="10"/>
  <c r="B15" i="10" s="1"/>
  <c r="R57" i="10" s="1"/>
  <c r="H12" i="4" s="1"/>
  <c r="N4" i="20"/>
  <c r="N8" i="20" s="1"/>
  <c r="P4" i="20"/>
  <c r="P8" i="20" s="1"/>
  <c r="X4" i="20"/>
  <c r="X8" i="20" s="1"/>
  <c r="L4" i="20"/>
  <c r="L8" i="20" s="1"/>
  <c r="W4" i="20"/>
  <c r="W8" i="20" s="1"/>
  <c r="Q4" i="20"/>
  <c r="Q8" i="20" s="1"/>
  <c r="K4" i="20"/>
  <c r="K8" i="20" s="1"/>
  <c r="O4" i="20"/>
  <c r="B3" i="12"/>
  <c r="E6" i="12" s="1"/>
  <c r="E7" i="12" s="1"/>
  <c r="E8" i="12" s="1"/>
  <c r="E9" i="12" s="1"/>
  <c r="K2" i="12" s="1"/>
  <c r="L2" i="12" s="1"/>
  <c r="G17" i="4" s="1"/>
  <c r="B5" i="15"/>
  <c r="E5" i="15" s="1"/>
  <c r="E6" i="15" s="1"/>
  <c r="E7" i="15" s="1"/>
  <c r="E8" i="15" s="1"/>
  <c r="F18" i="4" s="1"/>
  <c r="S4" i="20"/>
  <c r="S8" i="20" s="1"/>
  <c r="E4" i="20"/>
  <c r="E8" i="20" s="1"/>
  <c r="B4" i="8"/>
  <c r="E3" i="8" s="1"/>
  <c r="E7" i="8" s="1"/>
  <c r="F7" i="4" s="1"/>
  <c r="F4" i="20"/>
  <c r="F8" i="20" s="1"/>
  <c r="O3" i="4"/>
  <c r="K22" i="20" s="1"/>
  <c r="K32" i="20" s="1"/>
  <c r="Q57" i="10"/>
  <c r="G12" i="4" s="1"/>
  <c r="P57" i="10"/>
  <c r="F12" i="4" s="1"/>
  <c r="R8" i="20"/>
  <c r="O8" i="20"/>
  <c r="G8" i="20"/>
  <c r="P13" i="4"/>
  <c r="P16" i="4"/>
  <c r="B12" i="10"/>
  <c r="E13" i="15" l="1"/>
  <c r="E14" i="15" s="1"/>
  <c r="E15" i="15" s="1"/>
  <c r="E16" i="15" s="1"/>
  <c r="F24" i="4" s="1"/>
  <c r="B16" i="10"/>
  <c r="F17" i="4"/>
  <c r="I10" i="11"/>
  <c r="G14" i="4" s="1"/>
  <c r="G7" i="8"/>
  <c r="H7" i="4" s="1"/>
  <c r="J10" i="11"/>
  <c r="H14" i="4" s="1"/>
  <c r="F7" i="8"/>
  <c r="G7" i="4" s="1"/>
  <c r="E4" i="8"/>
  <c r="F8" i="8" s="1"/>
  <c r="G8" i="4" s="1"/>
  <c r="S7" i="4"/>
  <c r="G6" i="14"/>
  <c r="H10" i="4" s="1"/>
  <c r="E6" i="14"/>
  <c r="F10" i="4" s="1"/>
  <c r="D22" i="20"/>
  <c r="D32" i="20" s="1"/>
  <c r="D60" i="20" s="1"/>
  <c r="D61" i="20" s="1"/>
  <c r="G22" i="20"/>
  <c r="G32" i="20" s="1"/>
  <c r="G45" i="20" s="1"/>
  <c r="G74" i="20" s="1"/>
  <c r="E22" i="20"/>
  <c r="E32" i="20" s="1"/>
  <c r="E45" i="20" s="1"/>
  <c r="E74" i="20" s="1"/>
  <c r="Q22" i="20"/>
  <c r="Q32" i="20" s="1"/>
  <c r="Q45" i="20" s="1"/>
  <c r="Q74" i="20" s="1"/>
  <c r="O22" i="20"/>
  <c r="O32" i="20" s="1"/>
  <c r="O60" i="20" s="1"/>
  <c r="O16" i="4"/>
  <c r="S3" i="4" s="1"/>
  <c r="S22" i="20"/>
  <c r="S32" i="20" s="1"/>
  <c r="S60" i="20" s="1"/>
  <c r="N22" i="20"/>
  <c r="N32" i="20" s="1"/>
  <c r="N60" i="20" s="1"/>
  <c r="P22" i="20"/>
  <c r="P32" i="20" s="1"/>
  <c r="P45" i="20" s="1"/>
  <c r="P74" i="20" s="1"/>
  <c r="M22" i="20"/>
  <c r="M32" i="20" s="1"/>
  <c r="M60" i="20" s="1"/>
  <c r="T22" i="20"/>
  <c r="T32" i="20" s="1"/>
  <c r="T60" i="20" s="1"/>
  <c r="L22" i="20"/>
  <c r="L32" i="20" s="1"/>
  <c r="L60" i="20" s="1"/>
  <c r="F22" i="20"/>
  <c r="F32" i="20" s="1"/>
  <c r="F60" i="20" s="1"/>
  <c r="I22" i="20"/>
  <c r="I32" i="20" s="1"/>
  <c r="I60" i="20" s="1"/>
  <c r="H22" i="20"/>
  <c r="H32" i="20" s="1"/>
  <c r="H45" i="20" s="1"/>
  <c r="H74" i="20" s="1"/>
  <c r="U22" i="20"/>
  <c r="U32" i="20" s="1"/>
  <c r="U45" i="20" s="1"/>
  <c r="U74" i="20" s="1"/>
  <c r="V22" i="20"/>
  <c r="V32" i="20" s="1"/>
  <c r="V60" i="20" s="1"/>
  <c r="R22" i="20"/>
  <c r="R32" i="20" s="1"/>
  <c r="R60" i="20" s="1"/>
  <c r="W22" i="20"/>
  <c r="W32" i="20" s="1"/>
  <c r="W60" i="20" s="1"/>
  <c r="X22" i="20"/>
  <c r="X32" i="20" s="1"/>
  <c r="X45" i="20" s="1"/>
  <c r="X74" i="20" s="1"/>
  <c r="J22" i="20"/>
  <c r="J32" i="20" s="1"/>
  <c r="J45" i="20" s="1"/>
  <c r="J74" i="20" s="1"/>
  <c r="O13" i="4"/>
  <c r="B17" i="10"/>
  <c r="B8" i="17" s="1"/>
  <c r="F2" i="17" s="1"/>
  <c r="F4" i="17" s="1"/>
  <c r="G4" i="17" s="1"/>
  <c r="B14" i="10"/>
  <c r="B13" i="10"/>
  <c r="P56" i="4"/>
  <c r="P57" i="4" s="1"/>
  <c r="P36" i="4"/>
  <c r="P37" i="4" s="1"/>
  <c r="P17" i="4"/>
  <c r="K45" i="20"/>
  <c r="K74" i="20" s="1"/>
  <c r="K60" i="20"/>
  <c r="G8" i="8" l="1"/>
  <c r="H8" i="4" s="1"/>
  <c r="E8" i="8"/>
  <c r="F8" i="4" s="1"/>
  <c r="B11" i="17" s="1"/>
  <c r="F5" i="17" s="1"/>
  <c r="G5" i="17" s="1"/>
  <c r="H4" i="17" s="1"/>
  <c r="P24" i="4" s="1"/>
  <c r="P25" i="4" s="1"/>
  <c r="P45" i="4" s="1"/>
  <c r="P67" i="4" s="1"/>
  <c r="S45" i="20"/>
  <c r="S74" i="20" s="1"/>
  <c r="E60" i="20"/>
  <c r="T45" i="20"/>
  <c r="T74" i="20" s="1"/>
  <c r="Q60" i="20"/>
  <c r="O17" i="4"/>
  <c r="O45" i="20"/>
  <c r="O74" i="20" s="1"/>
  <c r="D45" i="20"/>
  <c r="D74" i="20" s="1"/>
  <c r="D75" i="20" s="1"/>
  <c r="J60" i="20"/>
  <c r="G60" i="20"/>
  <c r="N45" i="20"/>
  <c r="N74" i="20" s="1"/>
  <c r="D33" i="20"/>
  <c r="O36" i="4"/>
  <c r="O37" i="4" s="1"/>
  <c r="O56" i="4"/>
  <c r="O57" i="4" s="1"/>
  <c r="I45" i="20"/>
  <c r="I74" i="20" s="1"/>
  <c r="R45" i="20"/>
  <c r="R74" i="20" s="1"/>
  <c r="H60" i="20"/>
  <c r="M45" i="20"/>
  <c r="M74" i="20" s="1"/>
  <c r="X60" i="20"/>
  <c r="W45" i="20"/>
  <c r="W74" i="20" s="1"/>
  <c r="L45" i="20"/>
  <c r="L74" i="20" s="1"/>
  <c r="F45" i="20"/>
  <c r="F74" i="20" s="1"/>
  <c r="U60" i="20"/>
  <c r="V45" i="20"/>
  <c r="V74" i="20" s="1"/>
  <c r="P60" i="20"/>
  <c r="G2" i="17"/>
  <c r="F3" i="17"/>
  <c r="G3" i="17" s="1"/>
  <c r="J18" i="10"/>
  <c r="H11" i="4" s="1"/>
  <c r="I18" i="10"/>
  <c r="G11" i="4" s="1"/>
  <c r="G15" i="4" s="1"/>
  <c r="H18" i="10"/>
  <c r="F11" i="4" s="1"/>
  <c r="F15" i="4" s="1"/>
  <c r="F23" i="4" s="1"/>
  <c r="D5" i="20" s="1"/>
  <c r="D10" i="20" s="1"/>
  <c r="D11" i="20" s="1"/>
  <c r="H15" i="4" l="1"/>
  <c r="H19" i="4" s="1"/>
  <c r="O9" i="4" s="1"/>
  <c r="D46" i="20"/>
  <c r="H3" i="17"/>
  <c r="H2" i="17"/>
  <c r="O7" i="4" s="1"/>
  <c r="O24" i="4"/>
  <c r="O25" i="4" s="1"/>
  <c r="H39" i="20" s="1"/>
  <c r="H68" i="20" s="1"/>
  <c r="G19" i="4"/>
  <c r="G23" i="4"/>
  <c r="G25" i="4" s="1"/>
  <c r="G5" i="20"/>
  <c r="P5" i="20"/>
  <c r="M5" i="20"/>
  <c r="H5" i="20"/>
  <c r="F19" i="4"/>
  <c r="K3" i="4" s="1"/>
  <c r="K4" i="4" s="1"/>
  <c r="O38" i="4" s="1"/>
  <c r="F5" i="20"/>
  <c r="E5" i="20"/>
  <c r="T5" i="20"/>
  <c r="J5" i="20"/>
  <c r="R5" i="20"/>
  <c r="X52" i="20"/>
  <c r="X82" i="20" s="1"/>
  <c r="O52" i="20"/>
  <c r="O82" i="20" s="1"/>
  <c r="T52" i="20"/>
  <c r="T82" i="20" s="1"/>
  <c r="U52" i="20"/>
  <c r="U82" i="20" s="1"/>
  <c r="J52" i="20"/>
  <c r="J82" i="20" s="1"/>
  <c r="O5" i="20"/>
  <c r="Q5" i="20"/>
  <c r="X5" i="20"/>
  <c r="V5" i="20"/>
  <c r="I5" i="20"/>
  <c r="F25" i="4"/>
  <c r="K18" i="4" s="1"/>
  <c r="P62" i="4" s="1"/>
  <c r="W5" i="20"/>
  <c r="N5" i="20"/>
  <c r="S5" i="20"/>
  <c r="L5" i="20"/>
  <c r="U5" i="20"/>
  <c r="K5" i="20"/>
  <c r="V52" i="20"/>
  <c r="V82" i="20" s="1"/>
  <c r="Q52" i="20"/>
  <c r="Q82" i="20" s="1"/>
  <c r="F52" i="20"/>
  <c r="F82" i="20" s="1"/>
  <c r="S52" i="20"/>
  <c r="S82" i="20" s="1"/>
  <c r="P52" i="20"/>
  <c r="P82" i="20" s="1"/>
  <c r="M52" i="20"/>
  <c r="M82" i="20" s="1"/>
  <c r="K52" i="20"/>
  <c r="K82" i="20" s="1"/>
  <c r="H52" i="20"/>
  <c r="H82" i="20" s="1"/>
  <c r="E52" i="20"/>
  <c r="E82" i="20" s="1"/>
  <c r="R52" i="20"/>
  <c r="R82" i="20" s="1"/>
  <c r="W52" i="20"/>
  <c r="W82" i="20" s="1"/>
  <c r="N52" i="20"/>
  <c r="N82" i="20" s="1"/>
  <c r="D52" i="20"/>
  <c r="D82" i="20" s="1"/>
  <c r="G52" i="20"/>
  <c r="G82" i="20" s="1"/>
  <c r="L52" i="20"/>
  <c r="L82" i="20" s="1"/>
  <c r="I52" i="20"/>
  <c r="I82" i="20" s="1"/>
  <c r="P21" i="4"/>
  <c r="P22" i="4" s="1"/>
  <c r="O21" i="4"/>
  <c r="O22" i="4" s="1"/>
  <c r="P7" i="4"/>
  <c r="D14" i="20"/>
  <c r="D12" i="20"/>
  <c r="D13" i="20"/>
  <c r="H23" i="4" l="1"/>
  <c r="H25" i="4" s="1"/>
  <c r="K20" i="4"/>
  <c r="O62" i="4"/>
  <c r="V39" i="20"/>
  <c r="V68" i="20" s="1"/>
  <c r="E39" i="20"/>
  <c r="E68" i="20" s="1"/>
  <c r="L39" i="20"/>
  <c r="L68" i="20" s="1"/>
  <c r="W39" i="20"/>
  <c r="W68" i="20" s="1"/>
  <c r="U39" i="20"/>
  <c r="U68" i="20" s="1"/>
  <c r="T39" i="20"/>
  <c r="T68" i="20" s="1"/>
  <c r="D39" i="20"/>
  <c r="D68" i="20" s="1"/>
  <c r="O39" i="20"/>
  <c r="O68" i="20" s="1"/>
  <c r="X39" i="20"/>
  <c r="X68" i="20" s="1"/>
  <c r="P9" i="4"/>
  <c r="P39" i="20"/>
  <c r="P68" i="20" s="1"/>
  <c r="I39" i="20"/>
  <c r="I68" i="20" s="1"/>
  <c r="O45" i="4"/>
  <c r="O67" i="4" s="1"/>
  <c r="S39" i="20"/>
  <c r="S68" i="20" s="1"/>
  <c r="M39" i="20"/>
  <c r="M68" i="20" s="1"/>
  <c r="J39" i="20"/>
  <c r="J68" i="20" s="1"/>
  <c r="F39" i="20"/>
  <c r="F68" i="20" s="1"/>
  <c r="R39" i="20"/>
  <c r="R68" i="20" s="1"/>
  <c r="G39" i="20"/>
  <c r="G68" i="20" s="1"/>
  <c r="Q39" i="20"/>
  <c r="Q68" i="20" s="1"/>
  <c r="K39" i="20"/>
  <c r="K68" i="20" s="1"/>
  <c r="N39" i="20"/>
  <c r="N68" i="20" s="1"/>
  <c r="P4" i="4"/>
  <c r="P5" i="4" s="1"/>
  <c r="O4" i="4"/>
  <c r="O5" i="4" s="1"/>
  <c r="O10" i="4" s="1"/>
  <c r="K19" i="4"/>
  <c r="K5" i="4"/>
  <c r="K6" i="4" s="1"/>
  <c r="P38" i="4"/>
  <c r="V38" i="20"/>
  <c r="V67" i="20" s="1"/>
  <c r="W38" i="20"/>
  <c r="W67" i="20" s="1"/>
  <c r="R38" i="20"/>
  <c r="R67" i="20" s="1"/>
  <c r="H38" i="20"/>
  <c r="H67" i="20" s="1"/>
  <c r="Q38" i="20"/>
  <c r="Q67" i="20" s="1"/>
  <c r="I38" i="20"/>
  <c r="I67" i="20" s="1"/>
  <c r="J38" i="20"/>
  <c r="J67" i="20" s="1"/>
  <c r="E38" i="20"/>
  <c r="E67" i="20" s="1"/>
  <c r="S38" i="20"/>
  <c r="S67" i="20" s="1"/>
  <c r="K38" i="20"/>
  <c r="K67" i="20" s="1"/>
  <c r="M38" i="20"/>
  <c r="M67" i="20" s="1"/>
  <c r="O38" i="20"/>
  <c r="O67" i="20" s="1"/>
  <c r="U38" i="20"/>
  <c r="U67" i="20" s="1"/>
  <c r="P38" i="20"/>
  <c r="P67" i="20" s="1"/>
  <c r="G38" i="20"/>
  <c r="G67" i="20" s="1"/>
  <c r="F38" i="20"/>
  <c r="F67" i="20" s="1"/>
  <c r="O44" i="4"/>
  <c r="O66" i="4" s="1"/>
  <c r="N38" i="20"/>
  <c r="N67" i="20" s="1"/>
  <c r="X38" i="20"/>
  <c r="X67" i="20" s="1"/>
  <c r="L38" i="20"/>
  <c r="L67" i="20" s="1"/>
  <c r="D38" i="20"/>
  <c r="D67" i="20" s="1"/>
  <c r="T38" i="20"/>
  <c r="T67" i="20" s="1"/>
  <c r="Q51" i="20"/>
  <c r="Q81" i="20" s="1"/>
  <c r="U51" i="20"/>
  <c r="U81" i="20" s="1"/>
  <c r="J51" i="20"/>
  <c r="J81" i="20" s="1"/>
  <c r="F51" i="20"/>
  <c r="F81" i="20" s="1"/>
  <c r="I51" i="20"/>
  <c r="I81" i="20" s="1"/>
  <c r="P44" i="4"/>
  <c r="P66" i="4" s="1"/>
  <c r="K51" i="20"/>
  <c r="K81" i="20" s="1"/>
  <c r="N51" i="20"/>
  <c r="N81" i="20" s="1"/>
  <c r="H51" i="20"/>
  <c r="H81" i="20" s="1"/>
  <c r="S51" i="20"/>
  <c r="S81" i="20" s="1"/>
  <c r="V51" i="20"/>
  <c r="V81" i="20" s="1"/>
  <c r="W51" i="20"/>
  <c r="W81" i="20" s="1"/>
  <c r="P51" i="20"/>
  <c r="P81" i="20" s="1"/>
  <c r="L51" i="20"/>
  <c r="L81" i="20" s="1"/>
  <c r="D51" i="20"/>
  <c r="D81" i="20" s="1"/>
  <c r="X51" i="20"/>
  <c r="X81" i="20" s="1"/>
  <c r="T51" i="20"/>
  <c r="T81" i="20" s="1"/>
  <c r="G51" i="20"/>
  <c r="G81" i="20" s="1"/>
  <c r="M51" i="20"/>
  <c r="M81" i="20" s="1"/>
  <c r="R51" i="20"/>
  <c r="R81" i="20" s="1"/>
  <c r="E51" i="20"/>
  <c r="E81" i="20" s="1"/>
  <c r="O51" i="20"/>
  <c r="O81" i="20" s="1"/>
  <c r="D15" i="20"/>
  <c r="D17" i="20" s="1"/>
  <c r="D19" i="20" s="1"/>
  <c r="D21" i="20" s="1"/>
  <c r="K21" i="4" l="1"/>
  <c r="K23" i="4" s="1"/>
  <c r="K25" i="4" s="1"/>
  <c r="K26" i="4" s="1"/>
  <c r="O58" i="4"/>
  <c r="P58" i="4" s="1"/>
  <c r="P10" i="4"/>
  <c r="P8" i="4"/>
  <c r="O8" i="4"/>
  <c r="O11" i="4" s="1"/>
  <c r="X28" i="20" s="1"/>
  <c r="K8" i="4"/>
  <c r="K10" i="4" s="1"/>
  <c r="K11" i="4" s="1"/>
  <c r="K13" i="4" s="1"/>
  <c r="R14" i="4" s="1"/>
  <c r="K14" i="4"/>
  <c r="O12" i="4" s="1"/>
  <c r="X5" i="4"/>
  <c r="X4" i="4"/>
  <c r="K29" i="4" l="1"/>
  <c r="K28" i="4"/>
  <c r="P11" i="4"/>
  <c r="X41" i="20" s="1"/>
  <c r="X70" i="20" s="1"/>
  <c r="P12" i="4"/>
  <c r="P14" i="4" s="1"/>
  <c r="P52" i="4" s="1"/>
  <c r="R28" i="20"/>
  <c r="R34" i="20" s="1"/>
  <c r="Q28" i="20"/>
  <c r="Q34" i="20" s="1"/>
  <c r="I28" i="20"/>
  <c r="I56" i="20" s="1"/>
  <c r="I62" i="20" s="1"/>
  <c r="W28" i="20"/>
  <c r="W56" i="20" s="1"/>
  <c r="W62" i="20" s="1"/>
  <c r="O51" i="4"/>
  <c r="O60" i="4" s="1"/>
  <c r="O61" i="4" s="1"/>
  <c r="O63" i="4" s="1"/>
  <c r="O64" i="4" s="1"/>
  <c r="O28" i="20"/>
  <c r="O34" i="20" s="1"/>
  <c r="L28" i="20"/>
  <c r="L56" i="20" s="1"/>
  <c r="L62" i="20" s="1"/>
  <c r="V28" i="20"/>
  <c r="V34" i="20" s="1"/>
  <c r="E28" i="20"/>
  <c r="E56" i="20" s="1"/>
  <c r="E62" i="20" s="1"/>
  <c r="N28" i="20"/>
  <c r="N56" i="20" s="1"/>
  <c r="N62" i="20" s="1"/>
  <c r="S28" i="20"/>
  <c r="S56" i="20" s="1"/>
  <c r="S62" i="20" s="1"/>
  <c r="K28" i="20"/>
  <c r="K34" i="20" s="1"/>
  <c r="P28" i="20"/>
  <c r="P56" i="20" s="1"/>
  <c r="P62" i="20" s="1"/>
  <c r="F28" i="20"/>
  <c r="F56" i="20" s="1"/>
  <c r="F62" i="20" s="1"/>
  <c r="M28" i="20"/>
  <c r="M34" i="20" s="1"/>
  <c r="H28" i="20"/>
  <c r="H56" i="20" s="1"/>
  <c r="H62" i="20" s="1"/>
  <c r="O31" i="4"/>
  <c r="O40" i="4" s="1"/>
  <c r="U28" i="20"/>
  <c r="U56" i="20" s="1"/>
  <c r="U62" i="20" s="1"/>
  <c r="J28" i="20"/>
  <c r="J56" i="20" s="1"/>
  <c r="J62" i="20" s="1"/>
  <c r="G28" i="20"/>
  <c r="G34" i="20" s="1"/>
  <c r="T28" i="20"/>
  <c r="T56" i="20" s="1"/>
  <c r="T62" i="20" s="1"/>
  <c r="D28" i="20"/>
  <c r="D56" i="20" s="1"/>
  <c r="D62" i="20" s="1"/>
  <c r="D63" i="20" s="1"/>
  <c r="D64" i="20" s="1"/>
  <c r="X34" i="20"/>
  <c r="X56" i="20"/>
  <c r="X62" i="20" s="1"/>
  <c r="O14" i="4"/>
  <c r="O32" i="4" l="1"/>
  <c r="O52" i="4"/>
  <c r="H41" i="20"/>
  <c r="H47" i="20" s="1"/>
  <c r="Q41" i="20"/>
  <c r="Q70" i="20" s="1"/>
  <c r="W41" i="20"/>
  <c r="W70" i="20" s="1"/>
  <c r="M41" i="20"/>
  <c r="M70" i="20" s="1"/>
  <c r="F41" i="20"/>
  <c r="F47" i="20" s="1"/>
  <c r="V41" i="20"/>
  <c r="V47" i="20" s="1"/>
  <c r="U41" i="20"/>
  <c r="U70" i="20" s="1"/>
  <c r="W34" i="20"/>
  <c r="N34" i="20"/>
  <c r="N41" i="20"/>
  <c r="N70" i="20" s="1"/>
  <c r="E41" i="20"/>
  <c r="E47" i="20" s="1"/>
  <c r="J41" i="20"/>
  <c r="L41" i="20"/>
  <c r="L47" i="20" s="1"/>
  <c r="P31" i="4"/>
  <c r="P40" i="4" s="1"/>
  <c r="P41" i="4" s="1"/>
  <c r="P42" i="4" s="1"/>
  <c r="I41" i="20"/>
  <c r="I70" i="20" s="1"/>
  <c r="K41" i="20"/>
  <c r="K47" i="20" s="1"/>
  <c r="O41" i="20"/>
  <c r="O47" i="20" s="1"/>
  <c r="R41" i="20"/>
  <c r="R47" i="20" s="1"/>
  <c r="D41" i="20"/>
  <c r="D47" i="20" s="1"/>
  <c r="D48" i="20" s="1"/>
  <c r="D49" i="20" s="1"/>
  <c r="T41" i="20"/>
  <c r="T47" i="20" s="1"/>
  <c r="G41" i="20"/>
  <c r="G47" i="20" s="1"/>
  <c r="S41" i="20"/>
  <c r="S47" i="20" s="1"/>
  <c r="P41" i="20"/>
  <c r="P47" i="20" s="1"/>
  <c r="P51" i="4"/>
  <c r="P60" i="4" s="1"/>
  <c r="P61" i="4" s="1"/>
  <c r="P63" i="4" s="1"/>
  <c r="P64" i="4" s="1"/>
  <c r="M56" i="20"/>
  <c r="M62" i="20" s="1"/>
  <c r="T34" i="20"/>
  <c r="E34" i="20"/>
  <c r="D34" i="20"/>
  <c r="D35" i="20" s="1"/>
  <c r="D36" i="20" s="1"/>
  <c r="X47" i="20"/>
  <c r="H34" i="20"/>
  <c r="S34" i="20"/>
  <c r="L34" i="20"/>
  <c r="K56" i="20"/>
  <c r="K62" i="20" s="1"/>
  <c r="U34" i="20"/>
  <c r="V56" i="20"/>
  <c r="V62" i="20" s="1"/>
  <c r="R56" i="20"/>
  <c r="R62" i="20" s="1"/>
  <c r="P34" i="20"/>
  <c r="I34" i="20"/>
  <c r="Q56" i="20"/>
  <c r="Q62" i="20" s="1"/>
  <c r="O65" i="4"/>
  <c r="O68" i="4" s="1"/>
  <c r="O56" i="20"/>
  <c r="O62" i="20" s="1"/>
  <c r="F34" i="20"/>
  <c r="G56" i="20"/>
  <c r="G62" i="20" s="1"/>
  <c r="J34" i="20"/>
  <c r="D65" i="20"/>
  <c r="O41" i="4"/>
  <c r="O42" i="4" s="1"/>
  <c r="O43" i="4" s="1"/>
  <c r="O46" i="4" s="1"/>
  <c r="O18" i="4"/>
  <c r="O26" i="4" s="1"/>
  <c r="S29" i="20"/>
  <c r="S57" i="20" s="1"/>
  <c r="L29" i="20"/>
  <c r="L57" i="20" s="1"/>
  <c r="T29" i="20"/>
  <c r="T57" i="20" s="1"/>
  <c r="E29" i="20"/>
  <c r="E57" i="20" s="1"/>
  <c r="M29" i="20"/>
  <c r="M57" i="20" s="1"/>
  <c r="U29" i="20"/>
  <c r="U57" i="20" s="1"/>
  <c r="W29" i="20"/>
  <c r="W57" i="20" s="1"/>
  <c r="F29" i="20"/>
  <c r="F57" i="20" s="1"/>
  <c r="N29" i="20"/>
  <c r="N57" i="20" s="1"/>
  <c r="V29" i="20"/>
  <c r="V57" i="20" s="1"/>
  <c r="O29" i="20"/>
  <c r="O57" i="20" s="1"/>
  <c r="G29" i="20"/>
  <c r="G57" i="20" s="1"/>
  <c r="H29" i="20"/>
  <c r="H57" i="20" s="1"/>
  <c r="P29" i="20"/>
  <c r="P57" i="20" s="1"/>
  <c r="X29" i="20"/>
  <c r="X57" i="20" s="1"/>
  <c r="K29" i="20"/>
  <c r="K57" i="20" s="1"/>
  <c r="I29" i="20"/>
  <c r="I57" i="20" s="1"/>
  <c r="Q29" i="20"/>
  <c r="Q57" i="20" s="1"/>
  <c r="D29" i="20"/>
  <c r="J29" i="20"/>
  <c r="J57" i="20" s="1"/>
  <c r="R29" i="20"/>
  <c r="R57" i="20" s="1"/>
  <c r="P32" i="4"/>
  <c r="H42" i="20"/>
  <c r="H71" i="20" s="1"/>
  <c r="P42" i="20"/>
  <c r="P71" i="20" s="1"/>
  <c r="X42" i="20"/>
  <c r="X71" i="20" s="1"/>
  <c r="I42" i="20"/>
  <c r="I71" i="20" s="1"/>
  <c r="Q42" i="20"/>
  <c r="Q71" i="20" s="1"/>
  <c r="J42" i="20"/>
  <c r="J71" i="20" s="1"/>
  <c r="R42" i="20"/>
  <c r="R71" i="20" s="1"/>
  <c r="K42" i="20"/>
  <c r="K71" i="20" s="1"/>
  <c r="S42" i="20"/>
  <c r="S71" i="20" s="1"/>
  <c r="L42" i="20"/>
  <c r="L71" i="20" s="1"/>
  <c r="T42" i="20"/>
  <c r="T71" i="20" s="1"/>
  <c r="E42" i="20"/>
  <c r="E71" i="20" s="1"/>
  <c r="M42" i="20"/>
  <c r="M71" i="20" s="1"/>
  <c r="U42" i="20"/>
  <c r="U71" i="20" s="1"/>
  <c r="D42" i="20"/>
  <c r="F42" i="20"/>
  <c r="F71" i="20" s="1"/>
  <c r="N42" i="20"/>
  <c r="N71" i="20" s="1"/>
  <c r="V42" i="20"/>
  <c r="V71" i="20" s="1"/>
  <c r="G42" i="20"/>
  <c r="G71" i="20" s="1"/>
  <c r="O42" i="20"/>
  <c r="O71" i="20" s="1"/>
  <c r="W42" i="20"/>
  <c r="W71" i="20" s="1"/>
  <c r="P18" i="4"/>
  <c r="P26" i="4" s="1"/>
  <c r="M47" i="20" l="1"/>
  <c r="W47" i="20"/>
  <c r="V70" i="20"/>
  <c r="Q47" i="20"/>
  <c r="H70" i="20"/>
  <c r="U47" i="20"/>
  <c r="F70" i="20"/>
  <c r="D70" i="20"/>
  <c r="X76" i="20" s="1"/>
  <c r="L70" i="20"/>
  <c r="E70" i="20"/>
  <c r="P43" i="4"/>
  <c r="P46" i="4" s="1"/>
  <c r="P47" i="4" s="1"/>
  <c r="S4" i="4"/>
  <c r="R11" i="4" s="1"/>
  <c r="T70" i="20"/>
  <c r="I47" i="20"/>
  <c r="P65" i="4"/>
  <c r="P68" i="4" s="1"/>
  <c r="P69" i="4" s="1"/>
  <c r="N47" i="20"/>
  <c r="K70" i="20"/>
  <c r="S70" i="20"/>
  <c r="P70" i="20"/>
  <c r="G70" i="20"/>
  <c r="R70" i="20"/>
  <c r="O70" i="20"/>
  <c r="J47" i="20"/>
  <c r="J70" i="20"/>
  <c r="P27" i="4"/>
  <c r="R10" i="4" s="1"/>
  <c r="D71" i="20"/>
  <c r="D50" i="20"/>
  <c r="D53" i="20" s="1"/>
  <c r="D57" i="20"/>
  <c r="D66" i="20" s="1"/>
  <c r="D69" i="20" s="1"/>
  <c r="D37" i="20"/>
  <c r="D40" i="20" s="1"/>
  <c r="J26" i="20"/>
  <c r="R26" i="20"/>
  <c r="U26" i="20"/>
  <c r="K26" i="20"/>
  <c r="S26" i="20"/>
  <c r="M26" i="20"/>
  <c r="I26" i="20"/>
  <c r="L26" i="20"/>
  <c r="T26" i="20"/>
  <c r="D26" i="20"/>
  <c r="E26" i="20"/>
  <c r="F26" i="20"/>
  <c r="N26" i="20"/>
  <c r="V26" i="20"/>
  <c r="G26" i="20"/>
  <c r="O26" i="20"/>
  <c r="W26" i="20"/>
  <c r="H26" i="20"/>
  <c r="P26" i="20"/>
  <c r="X26" i="20"/>
  <c r="Q26" i="20"/>
  <c r="E25" i="20"/>
  <c r="M25" i="20"/>
  <c r="U25" i="20"/>
  <c r="F25" i="20"/>
  <c r="N25" i="20"/>
  <c r="V25" i="20"/>
  <c r="X25" i="20"/>
  <c r="G25" i="20"/>
  <c r="O25" i="20"/>
  <c r="W25" i="20"/>
  <c r="H25" i="20"/>
  <c r="P25" i="20"/>
  <c r="I25" i="20"/>
  <c r="Q25" i="20"/>
  <c r="D25" i="20"/>
  <c r="T25" i="20"/>
  <c r="J25" i="20"/>
  <c r="R25" i="20"/>
  <c r="L25" i="20"/>
  <c r="L27" i="20" s="1"/>
  <c r="K25" i="20"/>
  <c r="S25" i="20"/>
  <c r="X27" i="20" l="1"/>
  <c r="S76" i="20"/>
  <c r="K76" i="20"/>
  <c r="I76" i="20"/>
  <c r="D76" i="20"/>
  <c r="D77" i="20" s="1"/>
  <c r="D78" i="20" s="1"/>
  <c r="D79" i="20" s="1"/>
  <c r="D80" i="20" s="1"/>
  <c r="D83" i="20" s="1"/>
  <c r="D84" i="20" s="1"/>
  <c r="M76" i="20"/>
  <c r="W76" i="20"/>
  <c r="P76" i="20"/>
  <c r="T76" i="20"/>
  <c r="N76" i="20"/>
  <c r="H76" i="20"/>
  <c r="E76" i="20"/>
  <c r="Q76" i="20"/>
  <c r="O76" i="20"/>
  <c r="L76" i="20"/>
  <c r="J76" i="20"/>
  <c r="F76" i="20"/>
  <c r="R76" i="20"/>
  <c r="V76" i="20"/>
  <c r="S5" i="4"/>
  <c r="S6" i="4" s="1"/>
  <c r="N2" i="20" s="1"/>
  <c r="U76" i="20"/>
  <c r="G76" i="20"/>
  <c r="R13" i="4"/>
  <c r="R12" i="4"/>
  <c r="D27" i="20"/>
  <c r="M27" i="20"/>
  <c r="D54" i="20"/>
  <c r="S27" i="20"/>
  <c r="W27" i="20"/>
  <c r="J27" i="20"/>
  <c r="Q27" i="20"/>
  <c r="V27" i="20"/>
  <c r="I27" i="20"/>
  <c r="N27" i="20"/>
  <c r="U27" i="20"/>
  <c r="H27" i="20"/>
  <c r="R27" i="20"/>
  <c r="K27" i="20"/>
  <c r="P27" i="20"/>
  <c r="F27" i="20"/>
  <c r="O27" i="20"/>
  <c r="E27" i="20"/>
  <c r="T27" i="20"/>
  <c r="G27" i="20"/>
  <c r="R2" i="20" l="1"/>
  <c r="T2" i="20"/>
  <c r="O2" i="20"/>
  <c r="D2" i="20"/>
  <c r="K2" i="20"/>
  <c r="L2" i="20"/>
  <c r="U2" i="20"/>
  <c r="P2" i="20"/>
  <c r="E1" i="20"/>
  <c r="E63" i="20" s="1"/>
  <c r="E64" i="20" s="1"/>
  <c r="E2" i="20"/>
  <c r="W2" i="20"/>
  <c r="F2" i="20"/>
  <c r="V2" i="20"/>
  <c r="G2" i="20"/>
  <c r="J2" i="20"/>
  <c r="H2" i="20"/>
  <c r="X2" i="20"/>
  <c r="I2" i="20"/>
  <c r="Q2" i="20"/>
  <c r="S2" i="20"/>
  <c r="M2" i="20"/>
  <c r="D85" i="20"/>
  <c r="X6" i="4" s="1"/>
  <c r="R16" i="4"/>
  <c r="D55" i="20"/>
  <c r="X3" i="4" s="1"/>
  <c r="E31" i="20" l="1"/>
  <c r="E33" i="20" s="1"/>
  <c r="E59" i="20"/>
  <c r="E61" i="20" s="1"/>
  <c r="E77" i="20"/>
  <c r="E78" i="20" s="1"/>
  <c r="E7" i="20"/>
  <c r="E9" i="20" s="1"/>
  <c r="E10" i="20" s="1"/>
  <c r="E11" i="20" s="1"/>
  <c r="E12" i="20" s="1"/>
  <c r="E35" i="20" s="1"/>
  <c r="F1" i="20"/>
  <c r="F77" i="20" s="1"/>
  <c r="F78" i="20" s="1"/>
  <c r="E44" i="20"/>
  <c r="E46" i="20" s="1"/>
  <c r="E73" i="20"/>
  <c r="E75" i="20" s="1"/>
  <c r="E3" i="20"/>
  <c r="Y2" i="4" s="1"/>
  <c r="E36" i="20" l="1"/>
  <c r="E37" i="20" s="1"/>
  <c r="E40" i="20" s="1"/>
  <c r="F44" i="20"/>
  <c r="F46" i="20" s="1"/>
  <c r="F73" i="20"/>
  <c r="F75" i="20" s="1"/>
  <c r="G1" i="20"/>
  <c r="G44" i="20" s="1"/>
  <c r="G46" i="20" s="1"/>
  <c r="F3" i="20"/>
  <c r="Z2" i="4" s="1"/>
  <c r="F31" i="20"/>
  <c r="F33" i="20" s="1"/>
  <c r="F59" i="20"/>
  <c r="F61" i="20" s="1"/>
  <c r="E13" i="20"/>
  <c r="E65" i="20" s="1"/>
  <c r="E66" i="20" s="1"/>
  <c r="E69" i="20" s="1"/>
  <c r="F63" i="20"/>
  <c r="F64" i="20" s="1"/>
  <c r="E14" i="20"/>
  <c r="E15" i="20" s="1"/>
  <c r="E17" i="20" s="1"/>
  <c r="E19" i="20" s="1"/>
  <c r="E21" i="20" s="1"/>
  <c r="Y5" i="4" s="1"/>
  <c r="E48" i="20"/>
  <c r="E49" i="20" s="1"/>
  <c r="E50" i="20" s="1"/>
  <c r="E53" i="20" s="1"/>
  <c r="F7" i="20"/>
  <c r="F9" i="20" s="1"/>
  <c r="F10" i="20" s="1"/>
  <c r="F11" i="20" s="1"/>
  <c r="F13" i="20" s="1"/>
  <c r="E79" i="20"/>
  <c r="E80" i="20" s="1"/>
  <c r="E83" i="20" s="1"/>
  <c r="G77" i="20" l="1"/>
  <c r="G78" i="20" s="1"/>
  <c r="G7" i="20"/>
  <c r="G9" i="20" s="1"/>
  <c r="G10" i="20" s="1"/>
  <c r="G11" i="20" s="1"/>
  <c r="G14" i="20" s="1"/>
  <c r="G73" i="20"/>
  <c r="G75" i="20" s="1"/>
  <c r="G59" i="20"/>
  <c r="G61" i="20" s="1"/>
  <c r="H1" i="20"/>
  <c r="H63" i="20" s="1"/>
  <c r="H64" i="20" s="1"/>
  <c r="G3" i="20"/>
  <c r="AA2" i="4" s="1"/>
  <c r="E54" i="20"/>
  <c r="E55" i="20" s="1"/>
  <c r="Y3" i="4" s="1"/>
  <c r="G31" i="20"/>
  <c r="G33" i="20" s="1"/>
  <c r="G63" i="20"/>
  <c r="G64" i="20" s="1"/>
  <c r="E84" i="20"/>
  <c r="E85" i="20" s="1"/>
  <c r="Y6" i="4" s="1"/>
  <c r="F14" i="20"/>
  <c r="F12" i="20"/>
  <c r="F48" i="20" s="1"/>
  <c r="F49" i="20" s="1"/>
  <c r="F50" i="20" s="1"/>
  <c r="F53" i="20" s="1"/>
  <c r="Y4" i="4"/>
  <c r="H77" i="20"/>
  <c r="H78" i="20" s="1"/>
  <c r="F79" i="20"/>
  <c r="F80" i="20" s="1"/>
  <c r="F83" i="20" s="1"/>
  <c r="F65" i="20"/>
  <c r="F66" i="20" s="1"/>
  <c r="F69" i="20" s="1"/>
  <c r="G12" i="20" l="1"/>
  <c r="G35" i="20" s="1"/>
  <c r="G36" i="20" s="1"/>
  <c r="G37" i="20" s="1"/>
  <c r="G40" i="20" s="1"/>
  <c r="H7" i="20"/>
  <c r="H9" i="20" s="1"/>
  <c r="H10" i="20" s="1"/>
  <c r="H11" i="20" s="1"/>
  <c r="H14" i="20" s="1"/>
  <c r="H3" i="20"/>
  <c r="AB2" i="4" s="1"/>
  <c r="G13" i="20"/>
  <c r="I1" i="20"/>
  <c r="I3" i="20" s="1"/>
  <c r="AC2" i="4" s="1"/>
  <c r="H73" i="20"/>
  <c r="H75" i="20" s="1"/>
  <c r="H31" i="20"/>
  <c r="H33" i="20" s="1"/>
  <c r="H59" i="20"/>
  <c r="H61" i="20" s="1"/>
  <c r="H44" i="20"/>
  <c r="H46" i="20" s="1"/>
  <c r="F15" i="20"/>
  <c r="F17" i="20" s="1"/>
  <c r="F19" i="20" s="1"/>
  <c r="F21" i="20" s="1"/>
  <c r="Z5" i="4" s="1"/>
  <c r="F35" i="20"/>
  <c r="F36" i="20" s="1"/>
  <c r="F37" i="20" s="1"/>
  <c r="F40" i="20" s="1"/>
  <c r="F54" i="20" s="1"/>
  <c r="F55" i="20" s="1"/>
  <c r="Z3" i="4" s="1"/>
  <c r="F84" i="20"/>
  <c r="G65" i="20"/>
  <c r="G66" i="20" s="1"/>
  <c r="G69" i="20" s="1"/>
  <c r="G79" i="20"/>
  <c r="G80" i="20" s="1"/>
  <c r="G83" i="20" s="1"/>
  <c r="H13" i="20" l="1"/>
  <c r="H12" i="20"/>
  <c r="H35" i="20" s="1"/>
  <c r="H36" i="20" s="1"/>
  <c r="H37" i="20" s="1"/>
  <c r="H40" i="20" s="1"/>
  <c r="G15" i="20"/>
  <c r="G17" i="20" s="1"/>
  <c r="G19" i="20" s="1"/>
  <c r="G21" i="20" s="1"/>
  <c r="AA5" i="4" s="1"/>
  <c r="G48" i="20"/>
  <c r="G49" i="20" s="1"/>
  <c r="G50" i="20" s="1"/>
  <c r="G53" i="20" s="1"/>
  <c r="G54" i="20" s="1"/>
  <c r="G55" i="20" s="1"/>
  <c r="AA3" i="4" s="1"/>
  <c r="I63" i="20"/>
  <c r="I64" i="20" s="1"/>
  <c r="I59" i="20"/>
  <c r="I61" i="20" s="1"/>
  <c r="I77" i="20"/>
  <c r="I78" i="20" s="1"/>
  <c r="I44" i="20"/>
  <c r="I46" i="20" s="1"/>
  <c r="I73" i="20"/>
  <c r="I75" i="20" s="1"/>
  <c r="I7" i="20"/>
  <c r="I9" i="20" s="1"/>
  <c r="I10" i="20" s="1"/>
  <c r="I11" i="20" s="1"/>
  <c r="I12" i="20" s="1"/>
  <c r="J1" i="20"/>
  <c r="J77" i="20" s="1"/>
  <c r="J78" i="20" s="1"/>
  <c r="I31" i="20"/>
  <c r="I33" i="20" s="1"/>
  <c r="Z4" i="4"/>
  <c r="F85" i="20"/>
  <c r="Z6" i="4" s="1"/>
  <c r="G84" i="20"/>
  <c r="H79" i="20"/>
  <c r="H80" i="20" s="1"/>
  <c r="H83" i="20" s="1"/>
  <c r="H65" i="20"/>
  <c r="H66" i="20" s="1"/>
  <c r="H69" i="20" s="1"/>
  <c r="H15" i="20" l="1"/>
  <c r="H17" i="20" s="1"/>
  <c r="H19" i="20" s="1"/>
  <c r="H21" i="20" s="1"/>
  <c r="AB4" i="4" s="1"/>
  <c r="H48" i="20"/>
  <c r="H49" i="20" s="1"/>
  <c r="H50" i="20" s="1"/>
  <c r="H53" i="20" s="1"/>
  <c r="AA4" i="4"/>
  <c r="J44" i="20"/>
  <c r="J46" i="20" s="1"/>
  <c r="J7" i="20"/>
  <c r="J9" i="20" s="1"/>
  <c r="J10" i="20" s="1"/>
  <c r="J11" i="20" s="1"/>
  <c r="J14" i="20" s="1"/>
  <c r="J73" i="20"/>
  <c r="J75" i="20" s="1"/>
  <c r="J3" i="20"/>
  <c r="AD2" i="4" s="1"/>
  <c r="J31" i="20"/>
  <c r="J33" i="20" s="1"/>
  <c r="J59" i="20"/>
  <c r="J61" i="20" s="1"/>
  <c r="I14" i="20"/>
  <c r="I15" i="20" s="1"/>
  <c r="I17" i="20" s="1"/>
  <c r="I19" i="20" s="1"/>
  <c r="I21" i="20" s="1"/>
  <c r="I13" i="20"/>
  <c r="K1" i="20"/>
  <c r="K63" i="20" s="1"/>
  <c r="K64" i="20" s="1"/>
  <c r="J63" i="20"/>
  <c r="J64" i="20" s="1"/>
  <c r="G85" i="20"/>
  <c r="AA6" i="4" s="1"/>
  <c r="H54" i="20"/>
  <c r="H55" i="20" s="1"/>
  <c r="AB3" i="4" s="1"/>
  <c r="H84" i="20"/>
  <c r="I65" i="20"/>
  <c r="I66" i="20" s="1"/>
  <c r="I69" i="20" s="1"/>
  <c r="I48" i="20"/>
  <c r="I49" i="20" s="1"/>
  <c r="I50" i="20" s="1"/>
  <c r="I53" i="20" s="1"/>
  <c r="I35" i="20"/>
  <c r="I36" i="20" s="1"/>
  <c r="I37" i="20" s="1"/>
  <c r="I40" i="20" s="1"/>
  <c r="I79" i="20"/>
  <c r="I80" i="20" s="1"/>
  <c r="I83" i="20" s="1"/>
  <c r="J12" i="20" l="1"/>
  <c r="J15" i="20" s="1"/>
  <c r="J17" i="20" s="1"/>
  <c r="J19" i="20" s="1"/>
  <c r="J21" i="20" s="1"/>
  <c r="AB5" i="4"/>
  <c r="J13" i="20"/>
  <c r="K7" i="20"/>
  <c r="K9" i="20" s="1"/>
  <c r="K10" i="20" s="1"/>
  <c r="K11" i="20" s="1"/>
  <c r="K14" i="20" s="1"/>
  <c r="K31" i="20"/>
  <c r="K33" i="20" s="1"/>
  <c r="K77" i="20"/>
  <c r="K78" i="20" s="1"/>
  <c r="L1" i="20"/>
  <c r="L63" i="20" s="1"/>
  <c r="L64" i="20" s="1"/>
  <c r="K73" i="20"/>
  <c r="K75" i="20" s="1"/>
  <c r="K59" i="20"/>
  <c r="K61" i="20" s="1"/>
  <c r="K3" i="20"/>
  <c r="AE2" i="4" s="1"/>
  <c r="K44" i="20"/>
  <c r="K46" i="20" s="1"/>
  <c r="H85" i="20"/>
  <c r="AB6" i="4" s="1"/>
  <c r="I84" i="20"/>
  <c r="I54" i="20"/>
  <c r="I55" i="20" s="1"/>
  <c r="AC3" i="4" s="1"/>
  <c r="J79" i="20"/>
  <c r="J80" i="20" s="1"/>
  <c r="J83" i="20" s="1"/>
  <c r="J65" i="20"/>
  <c r="J66" i="20" s="1"/>
  <c r="J69" i="20" s="1"/>
  <c r="AC4" i="4"/>
  <c r="AC5" i="4"/>
  <c r="J48" i="20" l="1"/>
  <c r="J49" i="20" s="1"/>
  <c r="J50" i="20" s="1"/>
  <c r="J53" i="20" s="1"/>
  <c r="J35" i="20"/>
  <c r="J36" i="20" s="1"/>
  <c r="J37" i="20" s="1"/>
  <c r="J40" i="20" s="1"/>
  <c r="L44" i="20"/>
  <c r="L46" i="20" s="1"/>
  <c r="L7" i="20"/>
  <c r="L9" i="20" s="1"/>
  <c r="L10" i="20" s="1"/>
  <c r="L11" i="20" s="1"/>
  <c r="L13" i="20" s="1"/>
  <c r="K13" i="20"/>
  <c r="K12" i="20"/>
  <c r="K35" i="20" s="1"/>
  <c r="K36" i="20" s="1"/>
  <c r="K37" i="20" s="1"/>
  <c r="K40" i="20" s="1"/>
  <c r="M1" i="20"/>
  <c r="M3" i="20" s="1"/>
  <c r="AG2" i="4" s="1"/>
  <c r="L59" i="20"/>
  <c r="L61" i="20" s="1"/>
  <c r="L3" i="20"/>
  <c r="AF2" i="4" s="1"/>
  <c r="L77" i="20"/>
  <c r="L78" i="20" s="1"/>
  <c r="L31" i="20"/>
  <c r="L33" i="20" s="1"/>
  <c r="L73" i="20"/>
  <c r="L75" i="20" s="1"/>
  <c r="I85" i="20"/>
  <c r="AC6" i="4" s="1"/>
  <c r="J84" i="20"/>
  <c r="L14" i="20"/>
  <c r="K79" i="20"/>
  <c r="K80" i="20" s="1"/>
  <c r="K83" i="20" s="1"/>
  <c r="K65" i="20"/>
  <c r="K66" i="20" s="1"/>
  <c r="K69" i="20" s="1"/>
  <c r="AD5" i="4"/>
  <c r="AD4" i="4"/>
  <c r="J54" i="20" l="1"/>
  <c r="J55" i="20" s="1"/>
  <c r="AD3" i="4" s="1"/>
  <c r="M63" i="20"/>
  <c r="M64" i="20" s="1"/>
  <c r="L12" i="20"/>
  <c r="L48" i="20" s="1"/>
  <c r="L49" i="20" s="1"/>
  <c r="L50" i="20" s="1"/>
  <c r="L53" i="20" s="1"/>
  <c r="M77" i="20"/>
  <c r="M78" i="20" s="1"/>
  <c r="M73" i="20"/>
  <c r="M75" i="20" s="1"/>
  <c r="N1" i="20"/>
  <c r="N73" i="20" s="1"/>
  <c r="N75" i="20" s="1"/>
  <c r="M7" i="20"/>
  <c r="M9" i="20" s="1"/>
  <c r="M10" i="20" s="1"/>
  <c r="M11" i="20" s="1"/>
  <c r="M12" i="20" s="1"/>
  <c r="M31" i="20"/>
  <c r="M33" i="20" s="1"/>
  <c r="M44" i="20"/>
  <c r="M46" i="20" s="1"/>
  <c r="M59" i="20"/>
  <c r="M61" i="20" s="1"/>
  <c r="K15" i="20"/>
  <c r="K17" i="20" s="1"/>
  <c r="K19" i="20" s="1"/>
  <c r="K21" i="20" s="1"/>
  <c r="AE5" i="4" s="1"/>
  <c r="K48" i="20"/>
  <c r="K49" i="20" s="1"/>
  <c r="K50" i="20" s="1"/>
  <c r="K53" i="20" s="1"/>
  <c r="K54" i="20" s="1"/>
  <c r="K55" i="20" s="1"/>
  <c r="AE3" i="4" s="1"/>
  <c r="J85" i="20"/>
  <c r="AD6" i="4" s="1"/>
  <c r="K84" i="20"/>
  <c r="N3" i="20"/>
  <c r="AH2" i="4" s="1"/>
  <c r="O1" i="20"/>
  <c r="L65" i="20"/>
  <c r="L66" i="20" s="1"/>
  <c r="L69" i="20" s="1"/>
  <c r="L79" i="20"/>
  <c r="L80" i="20" s="1"/>
  <c r="L83" i="20" s="1"/>
  <c r="N59" i="20" l="1"/>
  <c r="N61" i="20" s="1"/>
  <c r="N7" i="20"/>
  <c r="N9" i="20" s="1"/>
  <c r="N10" i="20" s="1"/>
  <c r="N11" i="20" s="1"/>
  <c r="N14" i="20" s="1"/>
  <c r="N63" i="20"/>
  <c r="N64" i="20" s="1"/>
  <c r="M14" i="20"/>
  <c r="M15" i="20" s="1"/>
  <c r="M17" i="20" s="1"/>
  <c r="M19" i="20" s="1"/>
  <c r="M21" i="20" s="1"/>
  <c r="N31" i="20"/>
  <c r="N33" i="20" s="1"/>
  <c r="N44" i="20"/>
  <c r="N46" i="20" s="1"/>
  <c r="N77" i="20"/>
  <c r="N78" i="20" s="1"/>
  <c r="L15" i="20"/>
  <c r="L17" i="20" s="1"/>
  <c r="L19" i="20" s="1"/>
  <c r="L21" i="20" s="1"/>
  <c r="AF4" i="4" s="1"/>
  <c r="L35" i="20"/>
  <c r="L36" i="20" s="1"/>
  <c r="L37" i="20" s="1"/>
  <c r="L40" i="20" s="1"/>
  <c r="L54" i="20" s="1"/>
  <c r="L55" i="20" s="1"/>
  <c r="AF3" i="4" s="1"/>
  <c r="M13" i="20"/>
  <c r="AE4" i="4"/>
  <c r="K85" i="20"/>
  <c r="AE6" i="4" s="1"/>
  <c r="O77" i="20"/>
  <c r="O78" i="20" s="1"/>
  <c r="O63" i="20"/>
  <c r="O64" i="20" s="1"/>
  <c r="M79" i="20"/>
  <c r="M80" i="20" s="1"/>
  <c r="M83" i="20" s="1"/>
  <c r="M35" i="20"/>
  <c r="M36" i="20" s="1"/>
  <c r="M37" i="20" s="1"/>
  <c r="M40" i="20" s="1"/>
  <c r="M65" i="20"/>
  <c r="M66" i="20" s="1"/>
  <c r="M69" i="20" s="1"/>
  <c r="M48" i="20"/>
  <c r="M49" i="20" s="1"/>
  <c r="M50" i="20" s="1"/>
  <c r="M53" i="20" s="1"/>
  <c r="L84" i="20"/>
  <c r="O3" i="20"/>
  <c r="AI2" i="4" s="1"/>
  <c r="P1" i="20"/>
  <c r="O59" i="20"/>
  <c r="O61" i="20" s="1"/>
  <c r="O73" i="20"/>
  <c r="O75" i="20" s="1"/>
  <c r="O31" i="20"/>
  <c r="O33" i="20" s="1"/>
  <c r="O7" i="20"/>
  <c r="O9" i="20" s="1"/>
  <c r="O10" i="20" s="1"/>
  <c r="O11" i="20" s="1"/>
  <c r="O44" i="20"/>
  <c r="O46" i="20" s="1"/>
  <c r="N13" i="20"/>
  <c r="N12" i="20"/>
  <c r="AF5" i="4" l="1"/>
  <c r="L85" i="20"/>
  <c r="AF6" i="4" s="1"/>
  <c r="P77" i="20"/>
  <c r="P78" i="20" s="1"/>
  <c r="P63" i="20"/>
  <c r="P64" i="20" s="1"/>
  <c r="M84" i="20"/>
  <c r="AG5" i="4"/>
  <c r="AG4" i="4"/>
  <c r="M54" i="20"/>
  <c r="M55" i="20" s="1"/>
  <c r="AG3" i="4" s="1"/>
  <c r="O14" i="20"/>
  <c r="O13" i="20"/>
  <c r="O12" i="20"/>
  <c r="P3" i="20"/>
  <c r="AJ2" i="4" s="1"/>
  <c r="P73" i="20"/>
  <c r="P75" i="20" s="1"/>
  <c r="P7" i="20"/>
  <c r="P9" i="20" s="1"/>
  <c r="P10" i="20" s="1"/>
  <c r="P11" i="20" s="1"/>
  <c r="P59" i="20"/>
  <c r="P61" i="20" s="1"/>
  <c r="P44" i="20"/>
  <c r="P46" i="20" s="1"/>
  <c r="Q1" i="20"/>
  <c r="P31" i="20"/>
  <c r="P33" i="20" s="1"/>
  <c r="N79" i="20"/>
  <c r="N80" i="20" s="1"/>
  <c r="N83" i="20" s="1"/>
  <c r="N35" i="20"/>
  <c r="N36" i="20" s="1"/>
  <c r="N37" i="20" s="1"/>
  <c r="N40" i="20" s="1"/>
  <c r="N48" i="20"/>
  <c r="N49" i="20" s="1"/>
  <c r="N50" i="20" s="1"/>
  <c r="N53" i="20" s="1"/>
  <c r="N65" i="20"/>
  <c r="N66" i="20" s="1"/>
  <c r="N69" i="20" s="1"/>
  <c r="N15" i="20"/>
  <c r="N17" i="20" s="1"/>
  <c r="N19" i="20" s="1"/>
  <c r="N21" i="20" s="1"/>
  <c r="M85" i="20" l="1"/>
  <c r="AG6" i="4" s="1"/>
  <c r="Q77" i="20"/>
  <c r="Q78" i="20" s="1"/>
  <c r="Q63" i="20"/>
  <c r="Q64" i="20" s="1"/>
  <c r="N54" i="20"/>
  <c r="N55" i="20" s="1"/>
  <c r="AH3" i="4" s="1"/>
  <c r="O48" i="20"/>
  <c r="O49" i="20" s="1"/>
  <c r="O50" i="20" s="1"/>
  <c r="O53" i="20" s="1"/>
  <c r="O65" i="20"/>
  <c r="O66" i="20" s="1"/>
  <c r="O69" i="20" s="1"/>
  <c r="O35" i="20"/>
  <c r="O36" i="20" s="1"/>
  <c r="O37" i="20" s="1"/>
  <c r="O40" i="20" s="1"/>
  <c r="O79" i="20"/>
  <c r="O80" i="20" s="1"/>
  <c r="O83" i="20" s="1"/>
  <c r="Q3" i="20"/>
  <c r="AK2" i="4" s="1"/>
  <c r="Q59" i="20"/>
  <c r="Q61" i="20" s="1"/>
  <c r="R1" i="20"/>
  <c r="Q44" i="20"/>
  <c r="Q46" i="20" s="1"/>
  <c r="Q73" i="20"/>
  <c r="Q75" i="20" s="1"/>
  <c r="Q31" i="20"/>
  <c r="Q33" i="20" s="1"/>
  <c r="Q7" i="20"/>
  <c r="Q9" i="20" s="1"/>
  <c r="Q10" i="20" s="1"/>
  <c r="Q11" i="20" s="1"/>
  <c r="AH5" i="4"/>
  <c r="AH4" i="4"/>
  <c r="N84" i="20"/>
  <c r="P13" i="20"/>
  <c r="P12" i="20"/>
  <c r="P14" i="20"/>
  <c r="O15" i="20"/>
  <c r="O17" i="20" s="1"/>
  <c r="O19" i="20" s="1"/>
  <c r="O21" i="20" s="1"/>
  <c r="N85" i="20" l="1"/>
  <c r="AH6" i="4" s="1"/>
  <c r="R77" i="20"/>
  <c r="R78" i="20" s="1"/>
  <c r="R63" i="20"/>
  <c r="R64" i="20" s="1"/>
  <c r="O54" i="20"/>
  <c r="O55" i="20" s="1"/>
  <c r="AI3" i="4" s="1"/>
  <c r="R3" i="20"/>
  <c r="AL2" i="4" s="1"/>
  <c r="R7" i="20"/>
  <c r="R9" i="20" s="1"/>
  <c r="R10" i="20" s="1"/>
  <c r="R11" i="20" s="1"/>
  <c r="R31" i="20"/>
  <c r="R33" i="20" s="1"/>
  <c r="R44" i="20"/>
  <c r="R46" i="20" s="1"/>
  <c r="S1" i="20"/>
  <c r="R59" i="20"/>
  <c r="R61" i="20" s="1"/>
  <c r="R73" i="20"/>
  <c r="R75" i="20" s="1"/>
  <c r="Q13" i="20"/>
  <c r="Q14" i="20"/>
  <c r="Q12" i="20"/>
  <c r="P79" i="20"/>
  <c r="P80" i="20" s="1"/>
  <c r="P83" i="20" s="1"/>
  <c r="P48" i="20"/>
  <c r="P49" i="20" s="1"/>
  <c r="P50" i="20" s="1"/>
  <c r="P53" i="20" s="1"/>
  <c r="P35" i="20"/>
  <c r="P36" i="20" s="1"/>
  <c r="P37" i="20" s="1"/>
  <c r="P40" i="20" s="1"/>
  <c r="P65" i="20"/>
  <c r="P66" i="20" s="1"/>
  <c r="P69" i="20" s="1"/>
  <c r="P15" i="20"/>
  <c r="P17" i="20" s="1"/>
  <c r="P19" i="20" s="1"/>
  <c r="P21" i="20" s="1"/>
  <c r="AI5" i="4"/>
  <c r="AI4" i="4"/>
  <c r="O84" i="20"/>
  <c r="O85" i="20" l="1"/>
  <c r="AI6" i="4" s="1"/>
  <c r="S77" i="20"/>
  <c r="S78" i="20" s="1"/>
  <c r="S63" i="20"/>
  <c r="S64" i="20" s="1"/>
  <c r="P84" i="20"/>
  <c r="AJ5" i="4"/>
  <c r="AJ4" i="4"/>
  <c r="P54" i="20"/>
  <c r="P55" i="20" s="1"/>
  <c r="AJ3" i="4" s="1"/>
  <c r="S3" i="20"/>
  <c r="AM2" i="4" s="1"/>
  <c r="S59" i="20"/>
  <c r="S61" i="20" s="1"/>
  <c r="S44" i="20"/>
  <c r="S46" i="20" s="1"/>
  <c r="T1" i="20"/>
  <c r="S7" i="20"/>
  <c r="S9" i="20" s="1"/>
  <c r="S10" i="20" s="1"/>
  <c r="S11" i="20" s="1"/>
  <c r="S73" i="20"/>
  <c r="S75" i="20" s="1"/>
  <c r="S31" i="20"/>
  <c r="S33" i="20" s="1"/>
  <c r="Q79" i="20"/>
  <c r="Q80" i="20" s="1"/>
  <c r="Q83" i="20" s="1"/>
  <c r="Q35" i="20"/>
  <c r="Q36" i="20" s="1"/>
  <c r="Q37" i="20" s="1"/>
  <c r="Q40" i="20" s="1"/>
  <c r="Q65" i="20"/>
  <c r="Q66" i="20" s="1"/>
  <c r="Q69" i="20" s="1"/>
  <c r="Q48" i="20"/>
  <c r="Q49" i="20" s="1"/>
  <c r="Q50" i="20" s="1"/>
  <c r="Q53" i="20" s="1"/>
  <c r="Q15" i="20"/>
  <c r="Q17" i="20" s="1"/>
  <c r="Q19" i="20" s="1"/>
  <c r="Q21" i="20" s="1"/>
  <c r="R12" i="20"/>
  <c r="R13" i="20"/>
  <c r="R14" i="20"/>
  <c r="P85" i="20" l="1"/>
  <c r="AJ6" i="4" s="1"/>
  <c r="T77" i="20"/>
  <c r="T78" i="20" s="1"/>
  <c r="T63" i="20"/>
  <c r="T64" i="20" s="1"/>
  <c r="Q84" i="20"/>
  <c r="R65" i="20"/>
  <c r="R66" i="20" s="1"/>
  <c r="R69" i="20" s="1"/>
  <c r="R79" i="20"/>
  <c r="R80" i="20" s="1"/>
  <c r="R83" i="20" s="1"/>
  <c r="R48" i="20"/>
  <c r="R49" i="20" s="1"/>
  <c r="R50" i="20" s="1"/>
  <c r="R53" i="20" s="1"/>
  <c r="R15" i="20"/>
  <c r="R17" i="20" s="1"/>
  <c r="R19" i="20" s="1"/>
  <c r="R21" i="20" s="1"/>
  <c r="R35" i="20"/>
  <c r="R36" i="20" s="1"/>
  <c r="R37" i="20" s="1"/>
  <c r="R40" i="20" s="1"/>
  <c r="S13" i="20"/>
  <c r="S12" i="20"/>
  <c r="S14" i="20"/>
  <c r="AK5" i="4"/>
  <c r="AK4" i="4"/>
  <c r="T3" i="20"/>
  <c r="AN2" i="4" s="1"/>
  <c r="T44" i="20"/>
  <c r="T46" i="20" s="1"/>
  <c r="T31" i="20"/>
  <c r="T33" i="20" s="1"/>
  <c r="T7" i="20"/>
  <c r="T9" i="20" s="1"/>
  <c r="T10" i="20" s="1"/>
  <c r="T11" i="20" s="1"/>
  <c r="T59" i="20"/>
  <c r="T61" i="20" s="1"/>
  <c r="U1" i="20"/>
  <c r="T73" i="20"/>
  <c r="T75" i="20" s="1"/>
  <c r="Q54" i="20"/>
  <c r="Q55" i="20" s="1"/>
  <c r="AK3" i="4" s="1"/>
  <c r="Q85" i="20" l="1"/>
  <c r="AK6" i="4" s="1"/>
  <c r="U77" i="20"/>
  <c r="U78" i="20" s="1"/>
  <c r="U63" i="20"/>
  <c r="U64" i="20" s="1"/>
  <c r="R54" i="20"/>
  <c r="R55" i="20" s="1"/>
  <c r="AL3" i="4" s="1"/>
  <c r="R84" i="20"/>
  <c r="S65" i="20"/>
  <c r="S66" i="20" s="1"/>
  <c r="S69" i="20" s="1"/>
  <c r="S48" i="20"/>
  <c r="S49" i="20" s="1"/>
  <c r="S50" i="20" s="1"/>
  <c r="S53" i="20" s="1"/>
  <c r="S15" i="20"/>
  <c r="S17" i="20" s="1"/>
  <c r="S19" i="20" s="1"/>
  <c r="S21" i="20" s="1"/>
  <c r="S35" i="20"/>
  <c r="S36" i="20" s="1"/>
  <c r="S37" i="20" s="1"/>
  <c r="S40" i="20" s="1"/>
  <c r="S79" i="20"/>
  <c r="S80" i="20" s="1"/>
  <c r="S83" i="20" s="1"/>
  <c r="T14" i="20"/>
  <c r="T13" i="20"/>
  <c r="T12" i="20"/>
  <c r="AL5" i="4"/>
  <c r="AL4" i="4"/>
  <c r="U3" i="20"/>
  <c r="AO2" i="4" s="1"/>
  <c r="U7" i="20"/>
  <c r="U9" i="20" s="1"/>
  <c r="U10" i="20" s="1"/>
  <c r="U11" i="20" s="1"/>
  <c r="U73" i="20"/>
  <c r="U75" i="20" s="1"/>
  <c r="U59" i="20"/>
  <c r="U61" i="20" s="1"/>
  <c r="U44" i="20"/>
  <c r="U46" i="20" s="1"/>
  <c r="V1" i="20"/>
  <c r="U31" i="20"/>
  <c r="U33" i="20" s="1"/>
  <c r="R85" i="20" l="1"/>
  <c r="AL6" i="4" s="1"/>
  <c r="V77" i="20"/>
  <c r="V78" i="20" s="1"/>
  <c r="V63" i="20"/>
  <c r="V64" i="20" s="1"/>
  <c r="S54" i="20"/>
  <c r="S55" i="20" s="1"/>
  <c r="AM3" i="4" s="1"/>
  <c r="S84" i="20"/>
  <c r="T15" i="20"/>
  <c r="T17" i="20" s="1"/>
  <c r="T19" i="20" s="1"/>
  <c r="T21" i="20" s="1"/>
  <c r="AN5" i="4" s="1"/>
  <c r="U12" i="20"/>
  <c r="U14" i="20"/>
  <c r="U13" i="20"/>
  <c r="AM4" i="4"/>
  <c r="AM5" i="4"/>
  <c r="V3" i="20"/>
  <c r="AP2" i="4" s="1"/>
  <c r="W1" i="20"/>
  <c r="V7" i="20"/>
  <c r="V9" i="20" s="1"/>
  <c r="V10" i="20" s="1"/>
  <c r="V11" i="20" s="1"/>
  <c r="V59" i="20"/>
  <c r="V61" i="20" s="1"/>
  <c r="V31" i="20"/>
  <c r="V33" i="20" s="1"/>
  <c r="V44" i="20"/>
  <c r="V46" i="20" s="1"/>
  <c r="V73" i="20"/>
  <c r="V75" i="20" s="1"/>
  <c r="T48" i="20"/>
  <c r="T49" i="20" s="1"/>
  <c r="T50" i="20" s="1"/>
  <c r="T53" i="20" s="1"/>
  <c r="T79" i="20"/>
  <c r="T80" i="20" s="1"/>
  <c r="T83" i="20" s="1"/>
  <c r="T65" i="20"/>
  <c r="T66" i="20" s="1"/>
  <c r="T69" i="20" s="1"/>
  <c r="T35" i="20"/>
  <c r="T36" i="20" s="1"/>
  <c r="T37" i="20" s="1"/>
  <c r="T40" i="20" s="1"/>
  <c r="S85" i="20" l="1"/>
  <c r="AM6" i="4" s="1"/>
  <c r="W77" i="20"/>
  <c r="W78" i="20" s="1"/>
  <c r="W63" i="20"/>
  <c r="W64" i="20" s="1"/>
  <c r="T54" i="20"/>
  <c r="T55" i="20" s="1"/>
  <c r="AN3" i="4" s="1"/>
  <c r="T84" i="20"/>
  <c r="AN4" i="4"/>
  <c r="U65" i="20"/>
  <c r="U66" i="20" s="1"/>
  <c r="U69" i="20" s="1"/>
  <c r="U79" i="20"/>
  <c r="U80" i="20" s="1"/>
  <c r="U83" i="20" s="1"/>
  <c r="U35" i="20"/>
  <c r="U36" i="20" s="1"/>
  <c r="U37" i="20" s="1"/>
  <c r="U40" i="20" s="1"/>
  <c r="U48" i="20"/>
  <c r="U49" i="20" s="1"/>
  <c r="U50" i="20" s="1"/>
  <c r="U53" i="20" s="1"/>
  <c r="V13" i="20"/>
  <c r="V12" i="20"/>
  <c r="V14" i="20"/>
  <c r="W3" i="20"/>
  <c r="AQ2" i="4" s="1"/>
  <c r="X1" i="20"/>
  <c r="W31" i="20"/>
  <c r="W33" i="20" s="1"/>
  <c r="W7" i="20"/>
  <c r="W9" i="20" s="1"/>
  <c r="W10" i="20" s="1"/>
  <c r="W11" i="20" s="1"/>
  <c r="W59" i="20"/>
  <c r="W61" i="20" s="1"/>
  <c r="W73" i="20"/>
  <c r="W75" i="20" s="1"/>
  <c r="W44" i="20"/>
  <c r="W46" i="20" s="1"/>
  <c r="U15" i="20"/>
  <c r="U17" i="20" s="1"/>
  <c r="U19" i="20" s="1"/>
  <c r="U21" i="20" s="1"/>
  <c r="T85" i="20" l="1"/>
  <c r="AN6" i="4" s="1"/>
  <c r="X77" i="20"/>
  <c r="X78" i="20" s="1"/>
  <c r="X63" i="20"/>
  <c r="X64" i="20" s="1"/>
  <c r="V48" i="20"/>
  <c r="V49" i="20" s="1"/>
  <c r="V50" i="20" s="1"/>
  <c r="V53" i="20" s="1"/>
  <c r="V65" i="20"/>
  <c r="V66" i="20" s="1"/>
  <c r="V69" i="20" s="1"/>
  <c r="V35" i="20"/>
  <c r="V36" i="20" s="1"/>
  <c r="V37" i="20" s="1"/>
  <c r="V40" i="20" s="1"/>
  <c r="V15" i="20"/>
  <c r="V17" i="20" s="1"/>
  <c r="V19" i="20" s="1"/>
  <c r="V21" i="20" s="1"/>
  <c r="V79" i="20"/>
  <c r="V80" i="20" s="1"/>
  <c r="V83" i="20" s="1"/>
  <c r="W12" i="20"/>
  <c r="W13" i="20"/>
  <c r="W14" i="20"/>
  <c r="U54" i="20"/>
  <c r="U55" i="20" s="1"/>
  <c r="AO3" i="4" s="1"/>
  <c r="AO4" i="4"/>
  <c r="AO5" i="4"/>
  <c r="X3" i="20"/>
  <c r="AR2" i="4" s="1"/>
  <c r="X44" i="20"/>
  <c r="X46" i="20" s="1"/>
  <c r="X73" i="20"/>
  <c r="X75" i="20" s="1"/>
  <c r="X59" i="20"/>
  <c r="X61" i="20" s="1"/>
  <c r="X31" i="20"/>
  <c r="X33" i="20" s="1"/>
  <c r="X7" i="20"/>
  <c r="X9" i="20" s="1"/>
  <c r="X10" i="20" s="1"/>
  <c r="X11" i="20" s="1"/>
  <c r="U84" i="20"/>
  <c r="U85" i="20" l="1"/>
  <c r="AO6" i="4" s="1"/>
  <c r="V54" i="20"/>
  <c r="V55" i="20" s="1"/>
  <c r="AP3" i="4" s="1"/>
  <c r="V84" i="20"/>
  <c r="W48" i="20"/>
  <c r="W49" i="20" s="1"/>
  <c r="W50" i="20" s="1"/>
  <c r="W53" i="20" s="1"/>
  <c r="W65" i="20"/>
  <c r="W66" i="20" s="1"/>
  <c r="W69" i="20" s="1"/>
  <c r="W35" i="20"/>
  <c r="W36" i="20" s="1"/>
  <c r="W37" i="20" s="1"/>
  <c r="W40" i="20" s="1"/>
  <c r="W15" i="20"/>
  <c r="W17" i="20" s="1"/>
  <c r="W19" i="20" s="1"/>
  <c r="W21" i="20" s="1"/>
  <c r="W79" i="20"/>
  <c r="W80" i="20" s="1"/>
  <c r="W83" i="20" s="1"/>
  <c r="AP5" i="4"/>
  <c r="AP4" i="4"/>
  <c r="X12" i="20"/>
  <c r="X14" i="20"/>
  <c r="X13" i="20"/>
  <c r="V85" i="20" l="1"/>
  <c r="AP6" i="4" s="1"/>
  <c r="W54" i="20"/>
  <c r="W55" i="20" s="1"/>
  <c r="AQ3" i="4" s="1"/>
  <c r="X35" i="20"/>
  <c r="X36" i="20" s="1"/>
  <c r="X37" i="20" s="1"/>
  <c r="X40" i="20" s="1"/>
  <c r="X48" i="20"/>
  <c r="X49" i="20" s="1"/>
  <c r="X50" i="20" s="1"/>
  <c r="X53" i="20" s="1"/>
  <c r="X65" i="20"/>
  <c r="X66" i="20" s="1"/>
  <c r="X69" i="20" s="1"/>
  <c r="X15" i="20"/>
  <c r="X17" i="20" s="1"/>
  <c r="X19" i="20" s="1"/>
  <c r="X21" i="20" s="1"/>
  <c r="X79" i="20"/>
  <c r="X80" i="20" s="1"/>
  <c r="X83" i="20" s="1"/>
  <c r="AQ4" i="4"/>
  <c r="AQ5" i="4"/>
  <c r="W84" i="20"/>
  <c r="W85" i="20" l="1"/>
  <c r="AQ6" i="4" s="1"/>
  <c r="AR4" i="4"/>
  <c r="AR5" i="4"/>
  <c r="X84" i="20"/>
  <c r="X54" i="20"/>
  <c r="X55" i="20" s="1"/>
  <c r="AR3" i="4" s="1"/>
  <c r="X85" i="20" l="1"/>
  <c r="AR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A3355</author>
  </authors>
  <commentList>
    <comment ref="E2" authorId="0" shapeId="0" xr:uid="{549EE664-9561-4A29-8574-DEF9A1772495}">
      <text>
        <r>
          <rPr>
            <sz val="12"/>
            <color indexed="81"/>
            <rFont val="MS P ゴシック"/>
            <family val="3"/>
            <charset val="128"/>
          </rPr>
          <t>1月1日現在の年齢を入力してください。</t>
        </r>
      </text>
    </comment>
    <comment ref="E9" authorId="0" shapeId="0" xr:uid="{6371595D-0092-4FE0-A17A-8CB7266359EE}">
      <text>
        <r>
          <rPr>
            <sz val="12"/>
            <color indexed="81"/>
            <rFont val="MS P ゴシック"/>
            <family val="3"/>
            <charset val="128"/>
          </rPr>
          <t>寄附したいふるさと納税額を入力してください。</t>
        </r>
      </text>
    </comment>
    <comment ref="E11" authorId="0" shapeId="0" xr:uid="{44A93756-2FFC-4099-8E22-082FB307FCD7}">
      <text>
        <r>
          <rPr>
            <sz val="12"/>
            <color indexed="81"/>
            <rFont val="MS P ゴシック"/>
            <family val="3"/>
            <charset val="128"/>
          </rPr>
          <t>1月1日現在の年齢を入力してください。</t>
        </r>
      </text>
    </comment>
  </commentList>
</comments>
</file>

<file path=xl/sharedStrings.xml><?xml version="1.0" encoding="utf-8"?>
<sst xmlns="http://schemas.openxmlformats.org/spreadsheetml/2006/main" count="718" uniqueCount="356">
  <si>
    <t>あなたの情報</t>
    <rPh sb="4" eb="6">
      <t>ジョウホウ</t>
    </rPh>
    <phoneticPr fontId="4"/>
  </si>
  <si>
    <t>年齢</t>
    <rPh sb="0" eb="2">
      <t>ネンレイ</t>
    </rPh>
    <phoneticPr fontId="4"/>
  </si>
  <si>
    <t>性別</t>
    <rPh sb="0" eb="2">
      <t>セイベツ</t>
    </rPh>
    <phoneticPr fontId="4"/>
  </si>
  <si>
    <t>収入・
所得情報</t>
    <rPh sb="0" eb="2">
      <t>シュウニュウ</t>
    </rPh>
    <rPh sb="4" eb="6">
      <t>ショトク</t>
    </rPh>
    <rPh sb="6" eb="8">
      <t>ジョウホウ</t>
    </rPh>
    <phoneticPr fontId="4"/>
  </si>
  <si>
    <t>(1)給与収入</t>
    <rPh sb="3" eb="5">
      <t>キュウヨ</t>
    </rPh>
    <rPh sb="5" eb="7">
      <t>シュウニュウ</t>
    </rPh>
    <phoneticPr fontId="4"/>
  </si>
  <si>
    <t>円</t>
    <rPh sb="0" eb="1">
      <t>エン</t>
    </rPh>
    <phoneticPr fontId="4"/>
  </si>
  <si>
    <t>(2)年金収入</t>
    <rPh sb="3" eb="7">
      <t>ネンキンシュウニュウ</t>
    </rPh>
    <phoneticPr fontId="4"/>
  </si>
  <si>
    <t>給与・年金以外の所得</t>
    <rPh sb="0" eb="2">
      <t>キュウヨ</t>
    </rPh>
    <rPh sb="3" eb="5">
      <t>ネンキン</t>
    </rPh>
    <rPh sb="5" eb="7">
      <t>イガイ</t>
    </rPh>
    <rPh sb="8" eb="10">
      <t>ショトク</t>
    </rPh>
    <phoneticPr fontId="4"/>
  </si>
  <si>
    <t>(3)源泉税額</t>
    <rPh sb="3" eb="7">
      <t>ゲンセンゼイガク</t>
    </rPh>
    <phoneticPr fontId="4"/>
  </si>
  <si>
    <t>ふるさと納税額</t>
    <rPh sb="4" eb="7">
      <t>ノウゼイガク</t>
    </rPh>
    <phoneticPr fontId="4"/>
  </si>
  <si>
    <t>年末調整できる控除</t>
    <rPh sb="0" eb="2">
      <t>ネンマツ</t>
    </rPh>
    <rPh sb="2" eb="4">
      <t>チョウセイ</t>
    </rPh>
    <rPh sb="7" eb="9">
      <t>コウジョ</t>
    </rPh>
    <phoneticPr fontId="4"/>
  </si>
  <si>
    <t>(4)配偶者</t>
    <rPh sb="3" eb="6">
      <t>ハイグウシャ</t>
    </rPh>
    <phoneticPr fontId="4"/>
  </si>
  <si>
    <t>合計所得</t>
    <rPh sb="0" eb="4">
      <t>ゴウケイショトク</t>
    </rPh>
    <phoneticPr fontId="4"/>
  </si>
  <si>
    <t>(5)扶養親族</t>
    <rPh sb="3" eb="7">
      <t>フヨウシンゾク</t>
    </rPh>
    <phoneticPr fontId="4"/>
  </si>
  <si>
    <t>16歳未満</t>
    <rPh sb="2" eb="5">
      <t>サイミマン</t>
    </rPh>
    <phoneticPr fontId="2"/>
  </si>
  <si>
    <t>人</t>
    <rPh sb="0" eb="1">
      <t>ニン</t>
    </rPh>
    <phoneticPr fontId="4"/>
  </si>
  <si>
    <t>16～18歳</t>
    <rPh sb="5" eb="6">
      <t>サイ</t>
    </rPh>
    <phoneticPr fontId="2"/>
  </si>
  <si>
    <t>19～22歳</t>
    <rPh sb="5" eb="6">
      <t>サイ</t>
    </rPh>
    <phoneticPr fontId="2"/>
  </si>
  <si>
    <t>23～69歳</t>
    <rPh sb="5" eb="6">
      <t>サイ</t>
    </rPh>
    <phoneticPr fontId="2"/>
  </si>
  <si>
    <t>70歳以上</t>
    <rPh sb="2" eb="5">
      <t>サイイジョウ</t>
    </rPh>
    <phoneticPr fontId="2"/>
  </si>
  <si>
    <t>同居</t>
    <rPh sb="0" eb="2">
      <t>ドウキョ</t>
    </rPh>
    <phoneticPr fontId="2"/>
  </si>
  <si>
    <t>非同居</t>
    <rPh sb="0" eb="1">
      <t>ヒ</t>
    </rPh>
    <rPh sb="1" eb="3">
      <t>ドウキョ</t>
    </rPh>
    <phoneticPr fontId="2"/>
  </si>
  <si>
    <t>(7)社会保険料</t>
    <rPh sb="3" eb="8">
      <t>シャカイホケンリョウ</t>
    </rPh>
    <phoneticPr fontId="4"/>
  </si>
  <si>
    <t>給与等から天引きされている分</t>
    <rPh sb="0" eb="2">
      <t>キュウヨ</t>
    </rPh>
    <rPh sb="2" eb="3">
      <t>トウ</t>
    </rPh>
    <rPh sb="5" eb="7">
      <t>テンビ</t>
    </rPh>
    <rPh sb="13" eb="14">
      <t>ブン</t>
    </rPh>
    <phoneticPr fontId="4"/>
  </si>
  <si>
    <t>国民健康保険</t>
    <rPh sb="0" eb="6">
      <t>コクミンケンコウホケン</t>
    </rPh>
    <phoneticPr fontId="4"/>
  </si>
  <si>
    <t>国民年金</t>
    <rPh sb="0" eb="2">
      <t>コクミン</t>
    </rPh>
    <rPh sb="2" eb="4">
      <t>ネンキン</t>
    </rPh>
    <phoneticPr fontId="4"/>
  </si>
  <si>
    <t>その他</t>
    <rPh sb="2" eb="3">
      <t>タ</t>
    </rPh>
    <phoneticPr fontId="4"/>
  </si>
  <si>
    <t>(8)小規模企業共済等掛金(年末調整に出していない分)</t>
    <rPh sb="3" eb="6">
      <t>ショウキボ</t>
    </rPh>
    <rPh sb="6" eb="8">
      <t>キギョウ</t>
    </rPh>
    <rPh sb="8" eb="10">
      <t>キョウサイ</t>
    </rPh>
    <rPh sb="10" eb="11">
      <t>トウ</t>
    </rPh>
    <rPh sb="11" eb="13">
      <t>カケキン</t>
    </rPh>
    <rPh sb="14" eb="16">
      <t>ネンマツ</t>
    </rPh>
    <rPh sb="16" eb="18">
      <t>チョウセイ</t>
    </rPh>
    <rPh sb="19" eb="20">
      <t>ダ</t>
    </rPh>
    <rPh sb="25" eb="26">
      <t>ブン</t>
    </rPh>
    <phoneticPr fontId="4"/>
  </si>
  <si>
    <t>(9)生命保険料控除</t>
    <rPh sb="3" eb="5">
      <t>セイメイ</t>
    </rPh>
    <rPh sb="5" eb="7">
      <t>ホケン</t>
    </rPh>
    <rPh sb="7" eb="10">
      <t>リョウコウジョ</t>
    </rPh>
    <phoneticPr fontId="4"/>
  </si>
  <si>
    <t>生命保険料
支払額</t>
    <rPh sb="0" eb="5">
      <t>セイメイホケンリョウ</t>
    </rPh>
    <rPh sb="6" eb="8">
      <t>シハライ</t>
    </rPh>
    <rPh sb="8" eb="9">
      <t>ガク</t>
    </rPh>
    <phoneticPr fontId="4"/>
  </si>
  <si>
    <t>旧制度</t>
    <rPh sb="0" eb="3">
      <t>キュウセイド</t>
    </rPh>
    <phoneticPr fontId="4"/>
  </si>
  <si>
    <t>新制度</t>
    <rPh sb="0" eb="3">
      <t>シンセイド</t>
    </rPh>
    <phoneticPr fontId="4"/>
  </si>
  <si>
    <t>個人年金
保険料支払額</t>
    <rPh sb="0" eb="4">
      <t>コジンネンキン</t>
    </rPh>
    <rPh sb="5" eb="8">
      <t>ホケンリョウ</t>
    </rPh>
    <rPh sb="8" eb="10">
      <t>シハラ</t>
    </rPh>
    <rPh sb="10" eb="11">
      <t>ガク</t>
    </rPh>
    <phoneticPr fontId="4"/>
  </si>
  <si>
    <t>介護医療保険料支払額</t>
    <rPh sb="0" eb="4">
      <t>カイゴイリョウ</t>
    </rPh>
    <rPh sb="4" eb="7">
      <t>ホケンリョウ</t>
    </rPh>
    <rPh sb="7" eb="9">
      <t>シハライ</t>
    </rPh>
    <rPh sb="9" eb="10">
      <t>ガク</t>
    </rPh>
    <phoneticPr fontId="4"/>
  </si>
  <si>
    <t>(10)地震保険料控除</t>
    <rPh sb="4" eb="8">
      <t>ジシンホケン</t>
    </rPh>
    <rPh sb="8" eb="9">
      <t>リョウ</t>
    </rPh>
    <rPh sb="9" eb="11">
      <t>コウジョ</t>
    </rPh>
    <phoneticPr fontId="4"/>
  </si>
  <si>
    <t>地震保険料</t>
    <rPh sb="0" eb="4">
      <t>ジシンホケン</t>
    </rPh>
    <rPh sb="4" eb="5">
      <t>リョウ</t>
    </rPh>
    <phoneticPr fontId="4"/>
  </si>
  <si>
    <t>両方ある
場合</t>
    <rPh sb="0" eb="2">
      <t>リョウホウ</t>
    </rPh>
    <rPh sb="5" eb="7">
      <t>バアイ</t>
    </rPh>
    <phoneticPr fontId="4"/>
  </si>
  <si>
    <t>旧長期損害保険料</t>
    <rPh sb="0" eb="1">
      <t>キュウ</t>
    </rPh>
    <rPh sb="1" eb="3">
      <t>チョウキ</t>
    </rPh>
    <rPh sb="3" eb="8">
      <t>ソンガイホケンリョウ</t>
    </rPh>
    <phoneticPr fontId="4"/>
  </si>
  <si>
    <t>(11)寡婦・ひとり親控除</t>
    <rPh sb="4" eb="6">
      <t>カフ</t>
    </rPh>
    <rPh sb="10" eb="11">
      <t>オヤ</t>
    </rPh>
    <rPh sb="11" eb="13">
      <t>コウジョ</t>
    </rPh>
    <phoneticPr fontId="4"/>
  </si>
  <si>
    <t>ひとり親</t>
    <rPh sb="3" eb="4">
      <t>オヤ</t>
    </rPh>
    <phoneticPr fontId="4"/>
  </si>
  <si>
    <t>寡婦</t>
    <rPh sb="0" eb="2">
      <t>カフ</t>
    </rPh>
    <phoneticPr fontId="4"/>
  </si>
  <si>
    <t>生計を一にする子</t>
    <rPh sb="0" eb="2">
      <t>セイケイ</t>
    </rPh>
    <rPh sb="3" eb="4">
      <t>イチ</t>
    </rPh>
    <rPh sb="7" eb="8">
      <t>コ</t>
    </rPh>
    <phoneticPr fontId="4"/>
  </si>
  <si>
    <t>(12)本人障害者控除</t>
    <rPh sb="4" eb="8">
      <t>ホンニンショウガイ</t>
    </rPh>
    <rPh sb="8" eb="9">
      <t>シャ</t>
    </rPh>
    <rPh sb="9" eb="11">
      <t>コウジョ</t>
    </rPh>
    <phoneticPr fontId="4"/>
  </si>
  <si>
    <t>(13)障害者扶養親族</t>
    <rPh sb="4" eb="7">
      <t>ショウガイシャ</t>
    </rPh>
    <rPh sb="7" eb="9">
      <t>フヨウ</t>
    </rPh>
    <rPh sb="9" eb="11">
      <t>シンゾク</t>
    </rPh>
    <phoneticPr fontId="4"/>
  </si>
  <si>
    <t>普通障害</t>
    <rPh sb="0" eb="4">
      <t>フツウショウガイ</t>
    </rPh>
    <phoneticPr fontId="4"/>
  </si>
  <si>
    <t>特別障害</t>
    <rPh sb="0" eb="2">
      <t>トクベツ</t>
    </rPh>
    <rPh sb="2" eb="4">
      <t>ショウガイ</t>
    </rPh>
    <phoneticPr fontId="4"/>
  </si>
  <si>
    <t>同居</t>
    <rPh sb="0" eb="2">
      <t>ドウキョ</t>
    </rPh>
    <phoneticPr fontId="4"/>
  </si>
  <si>
    <t>非同居</t>
    <rPh sb="0" eb="1">
      <t>ヒ</t>
    </rPh>
    <rPh sb="1" eb="3">
      <t>ドウキョ</t>
    </rPh>
    <phoneticPr fontId="4"/>
  </si>
  <si>
    <t>(14)勤労学生控除</t>
    <rPh sb="4" eb="8">
      <t>キンロウガクセイ</t>
    </rPh>
    <rPh sb="8" eb="10">
      <t>コウジョ</t>
    </rPh>
    <phoneticPr fontId="4"/>
  </si>
  <si>
    <t>(15)住宅借入金控除</t>
    <rPh sb="4" eb="6">
      <t>ジュウタク</t>
    </rPh>
    <rPh sb="6" eb="11">
      <t>シャクニュウキンコウジョ</t>
    </rPh>
    <phoneticPr fontId="4"/>
  </si>
  <si>
    <t>申告が必要な控除</t>
    <rPh sb="0" eb="2">
      <t>シンコク</t>
    </rPh>
    <rPh sb="3" eb="5">
      <t>ヒツヨウ</t>
    </rPh>
    <rPh sb="6" eb="8">
      <t>コウジョ</t>
    </rPh>
    <phoneticPr fontId="4"/>
  </si>
  <si>
    <t>(16)医療費控除</t>
    <rPh sb="4" eb="7">
      <t>イリョウヒ</t>
    </rPh>
    <rPh sb="7" eb="9">
      <t>コウジョ</t>
    </rPh>
    <phoneticPr fontId="4"/>
  </si>
  <si>
    <t>支払った医療費</t>
    <rPh sb="0" eb="2">
      <t>シハラ</t>
    </rPh>
    <rPh sb="4" eb="7">
      <t>イリョウヒ</t>
    </rPh>
    <phoneticPr fontId="4"/>
  </si>
  <si>
    <t>うち保険等の補填を受けた金額</t>
    <rPh sb="2" eb="5">
      <t>ホケントウ</t>
    </rPh>
    <rPh sb="6" eb="8">
      <t>ホテン</t>
    </rPh>
    <rPh sb="9" eb="10">
      <t>ウ</t>
    </rPh>
    <rPh sb="12" eb="14">
      <t>キンガク</t>
    </rPh>
    <phoneticPr fontId="4"/>
  </si>
  <si>
    <t>セルフメディケーション税制に該当する医薬品等購入金額</t>
    <rPh sb="11" eb="13">
      <t>ゼイセイ</t>
    </rPh>
    <rPh sb="14" eb="16">
      <t>ガイトウ</t>
    </rPh>
    <rPh sb="18" eb="22">
      <t>イヤクヒントウ</t>
    </rPh>
    <rPh sb="22" eb="26">
      <t>コウニュウキンガク</t>
    </rPh>
    <phoneticPr fontId="4"/>
  </si>
  <si>
    <t>(17)寄附金(ふるさと納税以外)</t>
    <rPh sb="4" eb="7">
      <t>キフキン</t>
    </rPh>
    <rPh sb="12" eb="14">
      <t>ノウゼイ</t>
    </rPh>
    <rPh sb="14" eb="16">
      <t>イガイ</t>
    </rPh>
    <phoneticPr fontId="4"/>
  </si>
  <si>
    <t>日本赤十字、共同募金等</t>
    <rPh sb="0" eb="2">
      <t>ニホン</t>
    </rPh>
    <rPh sb="2" eb="5">
      <t>セキジュウジ</t>
    </rPh>
    <rPh sb="6" eb="10">
      <t>キョウドウボキン</t>
    </rPh>
    <rPh sb="10" eb="11">
      <t>トウ</t>
    </rPh>
    <phoneticPr fontId="4"/>
  </si>
  <si>
    <t>県の条例指定団体等</t>
    <rPh sb="0" eb="1">
      <t>ケン</t>
    </rPh>
    <rPh sb="2" eb="4">
      <t>ジョウレイ</t>
    </rPh>
    <rPh sb="4" eb="6">
      <t>シテイ</t>
    </rPh>
    <rPh sb="6" eb="9">
      <t>ダンタイトウ</t>
    </rPh>
    <phoneticPr fontId="4"/>
  </si>
  <si>
    <t>市の条例指定団体等</t>
    <rPh sb="0" eb="1">
      <t>シ</t>
    </rPh>
    <rPh sb="2" eb="4">
      <t>ジョウレイ</t>
    </rPh>
    <rPh sb="4" eb="6">
      <t>シテイ</t>
    </rPh>
    <rPh sb="6" eb="9">
      <t>ダンタイトウ</t>
    </rPh>
    <phoneticPr fontId="4"/>
  </si>
  <si>
    <t>県・市両方の条例指定団体等</t>
    <rPh sb="0" eb="1">
      <t>ケン</t>
    </rPh>
    <rPh sb="2" eb="3">
      <t>シ</t>
    </rPh>
    <rPh sb="3" eb="5">
      <t>リョウホウ</t>
    </rPh>
    <rPh sb="6" eb="8">
      <t>ジョウレイ</t>
    </rPh>
    <rPh sb="8" eb="10">
      <t>シテイ</t>
    </rPh>
    <rPh sb="10" eb="13">
      <t>ダンタイトウ</t>
    </rPh>
    <phoneticPr fontId="4"/>
  </si>
  <si>
    <t>(18)雑損控除額</t>
    <rPh sb="4" eb="6">
      <t>ザッソン</t>
    </rPh>
    <rPh sb="6" eb="8">
      <t>コウジョ</t>
    </rPh>
    <rPh sb="8" eb="9">
      <t>ガク</t>
    </rPh>
    <phoneticPr fontId="4"/>
  </si>
  <si>
    <t>給与収入</t>
    <rPh sb="0" eb="4">
      <t>キュウヨシュウニュウ</t>
    </rPh>
    <phoneticPr fontId="4"/>
  </si>
  <si>
    <t>式</t>
    <rPh sb="0" eb="1">
      <t>シキ</t>
    </rPh>
    <phoneticPr fontId="4"/>
  </si>
  <si>
    <t>金額の範囲(未満)</t>
    <rPh sb="0" eb="2">
      <t>キンガク</t>
    </rPh>
    <rPh sb="3" eb="5">
      <t>ハンイ</t>
    </rPh>
    <rPh sb="6" eb="8">
      <t>ミマン</t>
    </rPh>
    <phoneticPr fontId="4"/>
  </si>
  <si>
    <t>計算結果</t>
    <rPh sb="0" eb="4">
      <t>ケイサンケッカ</t>
    </rPh>
    <phoneticPr fontId="4"/>
  </si>
  <si>
    <t>所得情報</t>
    <rPh sb="0" eb="2">
      <t>ショトク</t>
    </rPh>
    <rPh sb="2" eb="4">
      <t>ジョウホウ</t>
    </rPh>
    <phoneticPr fontId="4"/>
  </si>
  <si>
    <t>項目名</t>
    <rPh sb="0" eb="3">
      <t>コウモクメイ</t>
    </rPh>
    <phoneticPr fontId="4"/>
  </si>
  <si>
    <t>給与所得</t>
    <rPh sb="0" eb="4">
      <t>キュウヨショトク</t>
    </rPh>
    <phoneticPr fontId="4"/>
  </si>
  <si>
    <t>年金所得</t>
    <rPh sb="0" eb="2">
      <t>ネンキン</t>
    </rPh>
    <rPh sb="2" eb="4">
      <t>ショトク</t>
    </rPh>
    <phoneticPr fontId="4"/>
  </si>
  <si>
    <t>その他所得</t>
    <rPh sb="2" eb="3">
      <t>タ</t>
    </rPh>
    <rPh sb="3" eb="5">
      <t>ショトク</t>
    </rPh>
    <phoneticPr fontId="4"/>
  </si>
  <si>
    <t>所得税</t>
    <rPh sb="0" eb="3">
      <t>ショトクゼイ</t>
    </rPh>
    <phoneticPr fontId="4"/>
  </si>
  <si>
    <t>住民税</t>
    <rPh sb="0" eb="3">
      <t>ジュウミンゼイ</t>
    </rPh>
    <phoneticPr fontId="4"/>
  </si>
  <si>
    <t>年金収入</t>
    <rPh sb="0" eb="4">
      <t>ネンキンシュウニュウ</t>
    </rPh>
    <phoneticPr fontId="4"/>
  </si>
  <si>
    <t>年金以外の所得</t>
    <rPh sb="0" eb="4">
      <t>ネンキンイガイ</t>
    </rPh>
    <rPh sb="5" eb="7">
      <t>ショトク</t>
    </rPh>
    <phoneticPr fontId="4"/>
  </si>
  <si>
    <t>入力結果計算</t>
    <rPh sb="0" eb="2">
      <t>ニュウリョク</t>
    </rPh>
    <rPh sb="2" eb="4">
      <t>ケッカ</t>
    </rPh>
    <rPh sb="4" eb="6">
      <t>ケイサン</t>
    </rPh>
    <phoneticPr fontId="4"/>
  </si>
  <si>
    <t>年金以外の合計所得の判定</t>
    <rPh sb="0" eb="4">
      <t>ネンキンイガイ</t>
    </rPh>
    <rPh sb="5" eb="9">
      <t>ゴウケイショトク</t>
    </rPh>
    <rPh sb="10" eb="12">
      <t>ハンテイ</t>
    </rPh>
    <phoneticPr fontId="4"/>
  </si>
  <si>
    <t>65歳未満</t>
    <rPh sb="2" eb="5">
      <t>サイミマン</t>
    </rPh>
    <phoneticPr fontId="4"/>
  </si>
  <si>
    <t>65歳以上</t>
    <rPh sb="2" eb="5">
      <t>サイイジョウ</t>
    </rPh>
    <phoneticPr fontId="4"/>
  </si>
  <si>
    <t>番号</t>
    <rPh sb="0" eb="2">
      <t>バンゴウ</t>
    </rPh>
    <phoneticPr fontId="4"/>
  </si>
  <si>
    <t>年齢判定</t>
    <rPh sb="0" eb="4">
      <t>ネンレイハンテイ</t>
    </rPh>
    <phoneticPr fontId="4"/>
  </si>
  <si>
    <t>列番号</t>
    <rPh sb="0" eb="3">
      <t>レツバンゴウ</t>
    </rPh>
    <phoneticPr fontId="4"/>
  </si>
  <si>
    <t>生命保険料</t>
    <rPh sb="0" eb="5">
      <t>セイメイホケンリョウ</t>
    </rPh>
    <phoneticPr fontId="4"/>
  </si>
  <si>
    <t>記号</t>
    <rPh sb="0" eb="2">
      <t>キゴウ</t>
    </rPh>
    <phoneticPr fontId="4"/>
  </si>
  <si>
    <t>A</t>
    <phoneticPr fontId="4"/>
  </si>
  <si>
    <t>B</t>
    <phoneticPr fontId="4"/>
  </si>
  <si>
    <t>C</t>
    <phoneticPr fontId="4"/>
  </si>
  <si>
    <t>E</t>
    <phoneticPr fontId="4"/>
  </si>
  <si>
    <t>H</t>
    <phoneticPr fontId="4"/>
  </si>
  <si>
    <t>K</t>
    <phoneticPr fontId="4"/>
  </si>
  <si>
    <t>計算値</t>
    <rPh sb="0" eb="3">
      <t>ケイサンチ</t>
    </rPh>
    <phoneticPr fontId="4"/>
  </si>
  <si>
    <t>D</t>
    <phoneticPr fontId="4"/>
  </si>
  <si>
    <t>F</t>
    <phoneticPr fontId="4"/>
  </si>
  <si>
    <t>I</t>
    <phoneticPr fontId="4"/>
  </si>
  <si>
    <t>L</t>
    <phoneticPr fontId="4"/>
  </si>
  <si>
    <t>個人年金保険料</t>
    <rPh sb="0" eb="7">
      <t>コジンネンキンホケンリョウ</t>
    </rPh>
    <phoneticPr fontId="4"/>
  </si>
  <si>
    <t>介護医療保険料</t>
    <rPh sb="0" eb="2">
      <t>カイゴ</t>
    </rPh>
    <rPh sb="2" eb="4">
      <t>イリョウ</t>
    </rPh>
    <rPh sb="4" eb="7">
      <t>ホケンリョウ</t>
    </rPh>
    <phoneticPr fontId="4"/>
  </si>
  <si>
    <t>G</t>
    <phoneticPr fontId="4"/>
  </si>
  <si>
    <t>J</t>
    <phoneticPr fontId="4"/>
  </si>
  <si>
    <t>M</t>
    <phoneticPr fontId="4"/>
  </si>
  <si>
    <t>N</t>
    <phoneticPr fontId="4"/>
  </si>
  <si>
    <t>控除情報</t>
    <rPh sb="0" eb="2">
      <t>コウジョ</t>
    </rPh>
    <rPh sb="2" eb="4">
      <t>ジョウホウ</t>
    </rPh>
    <phoneticPr fontId="4"/>
  </si>
  <si>
    <t>社会保険料控除</t>
    <rPh sb="0" eb="5">
      <t>シャカイホケンリョウ</t>
    </rPh>
    <rPh sb="5" eb="7">
      <t>コウジョ</t>
    </rPh>
    <phoneticPr fontId="4"/>
  </si>
  <si>
    <t>小規模企業共済掛金控除</t>
    <rPh sb="0" eb="3">
      <t>ショウキボ</t>
    </rPh>
    <rPh sb="3" eb="5">
      <t>キギョウ</t>
    </rPh>
    <rPh sb="5" eb="7">
      <t>キョウサイ</t>
    </rPh>
    <rPh sb="7" eb="9">
      <t>カケキン</t>
    </rPh>
    <rPh sb="9" eb="11">
      <t>コウジョ</t>
    </rPh>
    <phoneticPr fontId="4"/>
  </si>
  <si>
    <t>生命保険料控除</t>
    <rPh sb="0" eb="7">
      <t>セイメイホケンリョウコウジョ</t>
    </rPh>
    <phoneticPr fontId="4"/>
  </si>
  <si>
    <t>所得税の計算</t>
    <rPh sb="0" eb="3">
      <t>ショトクゼイ</t>
    </rPh>
    <rPh sb="4" eb="6">
      <t>ケイサン</t>
    </rPh>
    <phoneticPr fontId="4"/>
  </si>
  <si>
    <t>住民税の計算式</t>
    <rPh sb="0" eb="3">
      <t>ジュウミンゼイ</t>
    </rPh>
    <rPh sb="4" eb="7">
      <t>ケイサンシキ</t>
    </rPh>
    <phoneticPr fontId="4"/>
  </si>
  <si>
    <t>ア</t>
    <phoneticPr fontId="4"/>
  </si>
  <si>
    <t>イ</t>
    <phoneticPr fontId="4"/>
  </si>
  <si>
    <t>ウ</t>
    <phoneticPr fontId="4"/>
  </si>
  <si>
    <t>エ</t>
    <phoneticPr fontId="4"/>
  </si>
  <si>
    <t>オ</t>
    <phoneticPr fontId="4"/>
  </si>
  <si>
    <t>カ</t>
    <phoneticPr fontId="4"/>
  </si>
  <si>
    <t>キ</t>
    <phoneticPr fontId="4"/>
  </si>
  <si>
    <t>ク</t>
    <phoneticPr fontId="4"/>
  </si>
  <si>
    <t>ケ</t>
    <phoneticPr fontId="4"/>
  </si>
  <si>
    <t>コ</t>
    <phoneticPr fontId="4"/>
  </si>
  <si>
    <t>ス</t>
    <phoneticPr fontId="4"/>
  </si>
  <si>
    <t>セ</t>
    <phoneticPr fontId="4"/>
  </si>
  <si>
    <t>ソ</t>
    <phoneticPr fontId="4"/>
  </si>
  <si>
    <t>地震保険料控除</t>
    <rPh sb="0" eb="5">
      <t>ジシンホケンリョウ</t>
    </rPh>
    <rPh sb="5" eb="7">
      <t>コウジョ</t>
    </rPh>
    <phoneticPr fontId="4"/>
  </si>
  <si>
    <t>ひとり親控除</t>
    <rPh sb="3" eb="4">
      <t>オヤ</t>
    </rPh>
    <rPh sb="4" eb="6">
      <t>コウジョ</t>
    </rPh>
    <phoneticPr fontId="4"/>
  </si>
  <si>
    <t>寡婦控除</t>
    <rPh sb="0" eb="2">
      <t>カフ</t>
    </rPh>
    <rPh sb="2" eb="4">
      <t>コウジョ</t>
    </rPh>
    <phoneticPr fontId="4"/>
  </si>
  <si>
    <t>配偶者控除</t>
    <rPh sb="0" eb="3">
      <t>ハイグウシャ</t>
    </rPh>
    <rPh sb="3" eb="5">
      <t>コウジョ</t>
    </rPh>
    <phoneticPr fontId="4"/>
  </si>
  <si>
    <t>配偶者特別控除</t>
    <rPh sb="0" eb="3">
      <t>ハイグウシャ</t>
    </rPh>
    <rPh sb="3" eb="5">
      <t>トクベツ</t>
    </rPh>
    <rPh sb="5" eb="7">
      <t>コウジョ</t>
    </rPh>
    <phoneticPr fontId="4"/>
  </si>
  <si>
    <t>扶養控除</t>
    <rPh sb="0" eb="4">
      <t>フヨウコウジョ</t>
    </rPh>
    <phoneticPr fontId="4"/>
  </si>
  <si>
    <t>入力算出値</t>
    <rPh sb="0" eb="2">
      <t>ニュウリョク</t>
    </rPh>
    <rPh sb="2" eb="4">
      <t>サンシュツ</t>
    </rPh>
    <rPh sb="4" eb="5">
      <t>チ</t>
    </rPh>
    <phoneticPr fontId="4"/>
  </si>
  <si>
    <t>項目</t>
    <rPh sb="0" eb="2">
      <t>コウモク</t>
    </rPh>
    <phoneticPr fontId="4"/>
  </si>
  <si>
    <t>入力値</t>
    <rPh sb="0" eb="2">
      <t>ニュウリョク</t>
    </rPh>
    <rPh sb="2" eb="3">
      <t>チ</t>
    </rPh>
    <phoneticPr fontId="4"/>
  </si>
  <si>
    <t>控除入力値</t>
    <rPh sb="0" eb="2">
      <t>コウジョ</t>
    </rPh>
    <rPh sb="2" eb="5">
      <t>ニュウリョクチ</t>
    </rPh>
    <phoneticPr fontId="4"/>
  </si>
  <si>
    <t>控除判定</t>
    <rPh sb="0" eb="2">
      <t>コウジョ</t>
    </rPh>
    <rPh sb="2" eb="4">
      <t>ハンテイ</t>
    </rPh>
    <phoneticPr fontId="4"/>
  </si>
  <si>
    <t>算出結果</t>
    <rPh sb="0" eb="4">
      <t>サンシュツケッカ</t>
    </rPh>
    <phoneticPr fontId="4"/>
  </si>
  <si>
    <t>所得税控除額</t>
    <rPh sb="0" eb="3">
      <t>ショトクゼイ</t>
    </rPh>
    <rPh sb="3" eb="6">
      <t>コウジョガク</t>
    </rPh>
    <phoneticPr fontId="4"/>
  </si>
  <si>
    <t>住民税控除額</t>
    <rPh sb="0" eb="6">
      <t>ジュウミンゼイコウジョガク</t>
    </rPh>
    <phoneticPr fontId="4"/>
  </si>
  <si>
    <t>人的控除差</t>
    <rPh sb="0" eb="2">
      <t>ジンテキ</t>
    </rPh>
    <rPh sb="2" eb="5">
      <t>コウジョサ</t>
    </rPh>
    <phoneticPr fontId="4"/>
  </si>
  <si>
    <t>控除額</t>
    <rPh sb="0" eb="3">
      <t>コウジョガク</t>
    </rPh>
    <phoneticPr fontId="4"/>
  </si>
  <si>
    <t>人的控除差</t>
    <rPh sb="0" eb="5">
      <t>ジンテキコウジョサ</t>
    </rPh>
    <phoneticPr fontId="4"/>
  </si>
  <si>
    <t>年齢等</t>
    <rPh sb="0" eb="2">
      <t>ネンレイ</t>
    </rPh>
    <rPh sb="2" eb="3">
      <t>トウ</t>
    </rPh>
    <phoneticPr fontId="4"/>
  </si>
  <si>
    <t>人数</t>
    <rPh sb="0" eb="2">
      <t>ニンズウ</t>
    </rPh>
    <phoneticPr fontId="4"/>
  </si>
  <si>
    <t>控除額(円/人)</t>
    <rPh sb="0" eb="3">
      <t>コウジョガク</t>
    </rPh>
    <rPh sb="4" eb="5">
      <t>エン</t>
    </rPh>
    <rPh sb="6" eb="7">
      <t>ニン</t>
    </rPh>
    <phoneticPr fontId="4"/>
  </si>
  <si>
    <t>人的控除差
(円/人)</t>
    <rPh sb="0" eb="2">
      <t>ジンテキ</t>
    </rPh>
    <rPh sb="2" eb="5">
      <t>コウジョサ</t>
    </rPh>
    <rPh sb="7" eb="8">
      <t>エン</t>
    </rPh>
    <rPh sb="9" eb="10">
      <t>ニン</t>
    </rPh>
    <phoneticPr fontId="4"/>
  </si>
  <si>
    <t>合計</t>
    <rPh sb="0" eb="2">
      <t>ゴウケイ</t>
    </rPh>
    <phoneticPr fontId="4"/>
  </si>
  <si>
    <t>基礎控除</t>
    <rPh sb="0" eb="4">
      <t>キソコウジョ</t>
    </rPh>
    <phoneticPr fontId="4"/>
  </si>
  <si>
    <t>小計</t>
    <rPh sb="0" eb="2">
      <t>ショウケイ</t>
    </rPh>
    <phoneticPr fontId="4"/>
  </si>
  <si>
    <t>雑損控除</t>
    <rPh sb="0" eb="2">
      <t>ザッソン</t>
    </rPh>
    <rPh sb="2" eb="4">
      <t>コウジョ</t>
    </rPh>
    <phoneticPr fontId="4"/>
  </si>
  <si>
    <t>申告者合計所得</t>
    <rPh sb="0" eb="3">
      <t>シンコクシャ</t>
    </rPh>
    <rPh sb="3" eb="7">
      <t>ゴウケイショトク</t>
    </rPh>
    <phoneticPr fontId="4"/>
  </si>
  <si>
    <t>配偶者年齢</t>
    <rPh sb="0" eb="3">
      <t>ハイグウシャ</t>
    </rPh>
    <rPh sb="3" eb="5">
      <t>ネンレイ</t>
    </rPh>
    <phoneticPr fontId="4"/>
  </si>
  <si>
    <t>配偶者合計所得</t>
    <rPh sb="0" eb="3">
      <t>ハイグウシャ</t>
    </rPh>
    <rPh sb="3" eb="7">
      <t>ゴウケイショトク</t>
    </rPh>
    <phoneticPr fontId="4"/>
  </si>
  <si>
    <t>配偶者適用</t>
    <rPh sb="0" eb="3">
      <t>ハイグウシャ</t>
    </rPh>
    <rPh sb="3" eb="5">
      <t>テキヨウ</t>
    </rPh>
    <phoneticPr fontId="4"/>
  </si>
  <si>
    <t>入力値</t>
    <rPh sb="0" eb="3">
      <t>ニュウリョクチ</t>
    </rPh>
    <phoneticPr fontId="4"/>
  </si>
  <si>
    <t>控除区分判定</t>
    <rPh sb="0" eb="2">
      <t>コウジョ</t>
    </rPh>
    <rPh sb="2" eb="4">
      <t>クブン</t>
    </rPh>
    <rPh sb="4" eb="6">
      <t>ハンテイ</t>
    </rPh>
    <phoneticPr fontId="4"/>
  </si>
  <si>
    <t>同一生計配偶者</t>
    <rPh sb="0" eb="2">
      <t>ドウイツ</t>
    </rPh>
    <rPh sb="2" eb="4">
      <t>セイケイ</t>
    </rPh>
    <rPh sb="4" eb="7">
      <t>ハイグウシャ</t>
    </rPh>
    <phoneticPr fontId="4"/>
  </si>
  <si>
    <t>配偶者控除</t>
    <rPh sb="0" eb="3">
      <t>ハイグウシャ</t>
    </rPh>
    <rPh sb="3" eb="5">
      <t>コウジョ</t>
    </rPh>
    <phoneticPr fontId="4"/>
  </si>
  <si>
    <t>算出値</t>
    <rPh sb="0" eb="3">
      <t>サンシュツチ</t>
    </rPh>
    <phoneticPr fontId="4"/>
  </si>
  <si>
    <t>老人配偶者控除</t>
    <rPh sb="0" eb="2">
      <t>ロウジン</t>
    </rPh>
    <rPh sb="2" eb="5">
      <t>ハイグウシャ</t>
    </rPh>
    <rPh sb="5" eb="7">
      <t>コウジョ</t>
    </rPh>
    <phoneticPr fontId="4"/>
  </si>
  <si>
    <t>配偶者特別控除</t>
    <rPh sb="0" eb="3">
      <t>ハイグウシャ</t>
    </rPh>
    <rPh sb="3" eb="5">
      <t>トクベツ</t>
    </rPh>
    <rPh sb="5" eb="7">
      <t>コウジョ</t>
    </rPh>
    <phoneticPr fontId="4"/>
  </si>
  <si>
    <t>番号</t>
    <rPh sb="0" eb="2">
      <t>バンゴウ</t>
    </rPh>
    <phoneticPr fontId="4"/>
  </si>
  <si>
    <t>控除判定値</t>
    <rPh sb="0" eb="2">
      <t>コウジョ</t>
    </rPh>
    <rPh sb="2" eb="4">
      <t>ハンテイ</t>
    </rPh>
    <rPh sb="4" eb="5">
      <t>チ</t>
    </rPh>
    <phoneticPr fontId="4"/>
  </si>
  <si>
    <t>金額の範囲(以下)</t>
    <rPh sb="0" eb="2">
      <t>キンガク</t>
    </rPh>
    <rPh sb="3" eb="5">
      <t>ハンイ</t>
    </rPh>
    <rPh sb="6" eb="8">
      <t>イカ</t>
    </rPh>
    <phoneticPr fontId="4"/>
  </si>
  <si>
    <t>配偶者控除</t>
    <rPh sb="0" eb="5">
      <t>ハイグウシャコウジョ</t>
    </rPh>
    <phoneticPr fontId="4"/>
  </si>
  <si>
    <t>人的控除差</t>
    <rPh sb="0" eb="5">
      <t>ジンテキコウジョサ</t>
    </rPh>
    <phoneticPr fontId="4"/>
  </si>
  <si>
    <t>扶養人数</t>
    <rPh sb="0" eb="4">
      <t>フヨウニンズウ</t>
    </rPh>
    <phoneticPr fontId="4"/>
  </si>
  <si>
    <t>配偶者特別控除</t>
    <rPh sb="0" eb="3">
      <t>ハイグウシャ</t>
    </rPh>
    <rPh sb="3" eb="7">
      <t>トクベツコウジョ</t>
    </rPh>
    <phoneticPr fontId="4"/>
  </si>
  <si>
    <t>行番号</t>
    <rPh sb="0" eb="3">
      <t>ギョウバンゴウ</t>
    </rPh>
    <phoneticPr fontId="4"/>
  </si>
  <si>
    <t>配特行番号</t>
    <rPh sb="0" eb="1">
      <t>ハイ</t>
    </rPh>
    <rPh sb="1" eb="2">
      <t>トク</t>
    </rPh>
    <rPh sb="2" eb="5">
      <t>ギョウバンゴウ</t>
    </rPh>
    <phoneticPr fontId="4"/>
  </si>
  <si>
    <t>控除額(所得税)</t>
    <rPh sb="0" eb="3">
      <t>コウジョガク</t>
    </rPh>
    <rPh sb="4" eb="7">
      <t>ショトクゼイ</t>
    </rPh>
    <phoneticPr fontId="4"/>
  </si>
  <si>
    <t>控除額(住民税)</t>
    <rPh sb="0" eb="3">
      <t>コウジョガク</t>
    </rPh>
    <rPh sb="4" eb="7">
      <t>ジュウミンゼイ</t>
    </rPh>
    <phoneticPr fontId="4"/>
  </si>
  <si>
    <t>70歳以上(同居)</t>
    <rPh sb="2" eb="5">
      <t>サイイジョウ</t>
    </rPh>
    <rPh sb="6" eb="8">
      <t>ドウキョ</t>
    </rPh>
    <phoneticPr fontId="2"/>
  </si>
  <si>
    <t>70歳以上(非同居)</t>
    <rPh sb="2" eb="5">
      <t>サイイジョウ</t>
    </rPh>
    <rPh sb="6" eb="7">
      <t>ヒ</t>
    </rPh>
    <rPh sb="7" eb="9">
      <t>ドウキョ</t>
    </rPh>
    <phoneticPr fontId="2"/>
  </si>
  <si>
    <t>扶養控除</t>
    <rPh sb="0" eb="4">
      <t>フヨウコウジョ</t>
    </rPh>
    <phoneticPr fontId="4"/>
  </si>
  <si>
    <t>控除額</t>
    <rPh sb="0" eb="2">
      <t>コウジョ</t>
    </rPh>
    <rPh sb="2" eb="3">
      <t>ガク</t>
    </rPh>
    <phoneticPr fontId="4"/>
  </si>
  <si>
    <t>医療費控除</t>
    <rPh sb="0" eb="3">
      <t>イリョウヒ</t>
    </rPh>
    <rPh sb="3" eb="5">
      <t>コウジョ</t>
    </rPh>
    <phoneticPr fontId="4"/>
  </si>
  <si>
    <t>補填金額</t>
    <rPh sb="0" eb="4">
      <t>ホテンキンガク</t>
    </rPh>
    <phoneticPr fontId="4"/>
  </si>
  <si>
    <t>セルフメディケーション</t>
    <phoneticPr fontId="4"/>
  </si>
  <si>
    <t>医療費控除</t>
    <rPh sb="0" eb="3">
      <t>イリョウヒ</t>
    </rPh>
    <rPh sb="3" eb="5">
      <t>コウジョ</t>
    </rPh>
    <phoneticPr fontId="4"/>
  </si>
  <si>
    <t>人的控除差</t>
    <rPh sb="0" eb="4">
      <t>ジンテキコウジョ</t>
    </rPh>
    <rPh sb="4" eb="5">
      <t>サ</t>
    </rPh>
    <phoneticPr fontId="4"/>
  </si>
  <si>
    <t>障害者控除</t>
    <rPh sb="0" eb="3">
      <t>ショウガイシャ</t>
    </rPh>
    <rPh sb="3" eb="5">
      <t>コウジョ</t>
    </rPh>
    <phoneticPr fontId="4"/>
  </si>
  <si>
    <t>勤労学生控除</t>
    <rPh sb="0" eb="4">
      <t>キンロウガクセイ</t>
    </rPh>
    <rPh sb="4" eb="6">
      <t>コウジョ</t>
    </rPh>
    <phoneticPr fontId="4"/>
  </si>
  <si>
    <t>本人障害者控除</t>
    <rPh sb="0" eb="4">
      <t>ホンニンショウガイ</t>
    </rPh>
    <rPh sb="4" eb="5">
      <t>シャ</t>
    </rPh>
    <rPh sb="5" eb="7">
      <t>コウジョ</t>
    </rPh>
    <phoneticPr fontId="4"/>
  </si>
  <si>
    <t>普通障害扶養</t>
    <rPh sb="0" eb="4">
      <t>フツウショウガイ</t>
    </rPh>
    <rPh sb="4" eb="6">
      <t>フヨウ</t>
    </rPh>
    <phoneticPr fontId="4"/>
  </si>
  <si>
    <t>特別障害扶養(同居)</t>
    <rPh sb="0" eb="4">
      <t>トクベツショウガイ</t>
    </rPh>
    <rPh sb="4" eb="6">
      <t>フヨウ</t>
    </rPh>
    <rPh sb="7" eb="9">
      <t>ドウキョ</t>
    </rPh>
    <phoneticPr fontId="4"/>
  </si>
  <si>
    <t>特別障害扶養(非同居)</t>
    <rPh sb="0" eb="4">
      <t>トクベツショウガイ</t>
    </rPh>
    <rPh sb="4" eb="6">
      <t>フヨウ</t>
    </rPh>
    <rPh sb="7" eb="8">
      <t>ヒ</t>
    </rPh>
    <rPh sb="8" eb="10">
      <t>ドウキョ</t>
    </rPh>
    <phoneticPr fontId="4"/>
  </si>
  <si>
    <t>障害者控除入力情報</t>
    <rPh sb="0" eb="3">
      <t>ショウガイシャ</t>
    </rPh>
    <rPh sb="3" eb="5">
      <t>コウジョ</t>
    </rPh>
    <rPh sb="5" eb="9">
      <t>ニュウリョクジョウホウ</t>
    </rPh>
    <phoneticPr fontId="4"/>
  </si>
  <si>
    <t>普通障害者控除</t>
    <rPh sb="0" eb="5">
      <t>フツウショウガイシャ</t>
    </rPh>
    <rPh sb="5" eb="7">
      <t>コウジョ</t>
    </rPh>
    <phoneticPr fontId="4"/>
  </si>
  <si>
    <t>特別障害者控除</t>
    <rPh sb="0" eb="2">
      <t>トクベツ</t>
    </rPh>
    <rPh sb="2" eb="5">
      <t>ショウガイシャ</t>
    </rPh>
    <rPh sb="5" eb="7">
      <t>コウジョ</t>
    </rPh>
    <phoneticPr fontId="4"/>
  </si>
  <si>
    <t>同居特障控除</t>
    <rPh sb="0" eb="4">
      <t>ドウキョトクショウ</t>
    </rPh>
    <rPh sb="4" eb="6">
      <t>コウジョ</t>
    </rPh>
    <phoneticPr fontId="4"/>
  </si>
  <si>
    <t>控除区分</t>
    <rPh sb="0" eb="4">
      <t>コウジョクブン</t>
    </rPh>
    <phoneticPr fontId="4"/>
  </si>
  <si>
    <t>勤労学生控除控除入力情報</t>
    <rPh sb="0" eb="6">
      <t>キンロウガクセイコウジョ</t>
    </rPh>
    <rPh sb="6" eb="8">
      <t>コウジョ</t>
    </rPh>
    <rPh sb="8" eb="12">
      <t>ニュウリョクジョウホウ</t>
    </rPh>
    <phoneticPr fontId="4"/>
  </si>
  <si>
    <t>給与以外の所得</t>
    <rPh sb="0" eb="4">
      <t>キュウヨイガイ</t>
    </rPh>
    <rPh sb="5" eb="7">
      <t>ショトク</t>
    </rPh>
    <phoneticPr fontId="4"/>
  </si>
  <si>
    <t>勤労学生控除</t>
    <rPh sb="0" eb="6">
      <t>キンロウガクセイコウジョ</t>
    </rPh>
    <phoneticPr fontId="4"/>
  </si>
  <si>
    <t>摘要</t>
    <rPh sb="0" eb="2">
      <t>テキヨウ</t>
    </rPh>
    <phoneticPr fontId="4"/>
  </si>
  <si>
    <t>寄附金控除</t>
    <rPh sb="0" eb="5">
      <t>キフキンコウジョ</t>
    </rPh>
    <phoneticPr fontId="4"/>
  </si>
  <si>
    <t>所得控除合計</t>
    <rPh sb="0" eb="2">
      <t>ショトク</t>
    </rPh>
    <rPh sb="2" eb="4">
      <t>コウジョ</t>
    </rPh>
    <rPh sb="4" eb="6">
      <t>ゴウケイ</t>
    </rPh>
    <phoneticPr fontId="4"/>
  </si>
  <si>
    <t>ふるさと納税無し時</t>
    <rPh sb="4" eb="6">
      <t>ノウゼイ</t>
    </rPh>
    <rPh sb="6" eb="7">
      <t>ナ</t>
    </rPh>
    <rPh sb="8" eb="9">
      <t>ジ</t>
    </rPh>
    <phoneticPr fontId="4"/>
  </si>
  <si>
    <t>寄附以外控除計</t>
    <rPh sb="0" eb="4">
      <t>キフイガイ</t>
    </rPh>
    <rPh sb="4" eb="6">
      <t>コウジョ</t>
    </rPh>
    <rPh sb="6" eb="7">
      <t>ケイ</t>
    </rPh>
    <phoneticPr fontId="4"/>
  </si>
  <si>
    <t>寄附金控除</t>
    <rPh sb="0" eb="3">
      <t>キフキン</t>
    </rPh>
    <rPh sb="3" eb="5">
      <t>コウジョ</t>
    </rPh>
    <phoneticPr fontId="4"/>
  </si>
  <si>
    <t>寄附金額</t>
    <rPh sb="0" eb="3">
      <t>キフキン</t>
    </rPh>
    <rPh sb="3" eb="4">
      <t>ガク</t>
    </rPh>
    <phoneticPr fontId="4"/>
  </si>
  <si>
    <t>所得税該当分</t>
    <rPh sb="0" eb="3">
      <t>ショトクゼイ</t>
    </rPh>
    <rPh sb="3" eb="6">
      <t>ガイトウブン</t>
    </rPh>
    <phoneticPr fontId="4"/>
  </si>
  <si>
    <t>控除額計算</t>
    <rPh sb="0" eb="5">
      <t>コウジョガクケイサン</t>
    </rPh>
    <phoneticPr fontId="4"/>
  </si>
  <si>
    <t>所得税(ふるさと納税無し)</t>
    <rPh sb="0" eb="3">
      <t>ショトクゼイ</t>
    </rPh>
    <rPh sb="8" eb="10">
      <t>ノウゼイ</t>
    </rPh>
    <rPh sb="10" eb="11">
      <t>ナ</t>
    </rPh>
    <phoneticPr fontId="4"/>
  </si>
  <si>
    <t>所得税額計算</t>
    <rPh sb="0" eb="4">
      <t>ショトクゼイガク</t>
    </rPh>
    <rPh sb="4" eb="6">
      <t>ケイサン</t>
    </rPh>
    <phoneticPr fontId="4"/>
  </si>
  <si>
    <t>項目名</t>
    <rPh sb="0" eb="3">
      <t>コウモクメイ</t>
    </rPh>
    <phoneticPr fontId="4"/>
  </si>
  <si>
    <t>課税される所得</t>
    <rPh sb="0" eb="2">
      <t>カゼイ</t>
    </rPh>
    <rPh sb="5" eb="7">
      <t>ショトク</t>
    </rPh>
    <phoneticPr fontId="4"/>
  </si>
  <si>
    <t>税率</t>
    <rPh sb="0" eb="2">
      <t>ゼイリツ</t>
    </rPh>
    <phoneticPr fontId="4"/>
  </si>
  <si>
    <t>加算額</t>
    <rPh sb="0" eb="3">
      <t>カサンガク</t>
    </rPh>
    <phoneticPr fontId="4"/>
  </si>
  <si>
    <t>①</t>
    <phoneticPr fontId="4"/>
  </si>
  <si>
    <t>②</t>
    <phoneticPr fontId="4"/>
  </si>
  <si>
    <t>③</t>
    <phoneticPr fontId="4"/>
  </si>
  <si>
    <t>所得税率</t>
    <rPh sb="0" eb="4">
      <t>ショトクゼイリツ</t>
    </rPh>
    <phoneticPr fontId="4"/>
  </si>
  <si>
    <t>加算額</t>
    <rPh sb="0" eb="3">
      <t>カサンガク</t>
    </rPh>
    <phoneticPr fontId="4"/>
  </si>
  <si>
    <t>算出税額</t>
    <rPh sb="0" eb="2">
      <t>サンシュツ</t>
    </rPh>
    <rPh sb="2" eb="4">
      <t>ゼイガク</t>
    </rPh>
    <phoneticPr fontId="4"/>
  </si>
  <si>
    <t>算出値</t>
    <rPh sb="0" eb="2">
      <t>サンシュツ</t>
    </rPh>
    <rPh sb="2" eb="3">
      <t>チ</t>
    </rPh>
    <phoneticPr fontId="4"/>
  </si>
  <si>
    <t>記号</t>
    <rPh sb="0" eb="2">
      <t>キゴウ</t>
    </rPh>
    <phoneticPr fontId="4"/>
  </si>
  <si>
    <t>住宅借入金控除</t>
    <rPh sb="0" eb="2">
      <t>ジュウタク</t>
    </rPh>
    <rPh sb="2" eb="5">
      <t>シャクニュウキン</t>
    </rPh>
    <rPh sb="5" eb="7">
      <t>コウジョ</t>
    </rPh>
    <phoneticPr fontId="4"/>
  </si>
  <si>
    <t>差引税額</t>
    <rPh sb="0" eb="2">
      <t>サシヒキ</t>
    </rPh>
    <rPh sb="2" eb="4">
      <t>ゼイガク</t>
    </rPh>
    <phoneticPr fontId="4"/>
  </si>
  <si>
    <t>④：①＊②+③</t>
    <phoneticPr fontId="4"/>
  </si>
  <si>
    <t>⑤</t>
    <phoneticPr fontId="4"/>
  </si>
  <si>
    <t>⑥：④-⑤</t>
    <phoneticPr fontId="4"/>
  </si>
  <si>
    <t>復興特別所得税率</t>
    <rPh sb="0" eb="2">
      <t>フッコウ</t>
    </rPh>
    <rPh sb="2" eb="4">
      <t>トクベツ</t>
    </rPh>
    <rPh sb="4" eb="8">
      <t>ショトクゼイリツ</t>
    </rPh>
    <phoneticPr fontId="4"/>
  </si>
  <si>
    <t>⑦</t>
    <phoneticPr fontId="4"/>
  </si>
  <si>
    <t>復興特別所得税</t>
    <rPh sb="0" eb="2">
      <t>フッコウ</t>
    </rPh>
    <rPh sb="2" eb="4">
      <t>トクベツ</t>
    </rPh>
    <rPh sb="4" eb="7">
      <t>ショトクゼイ</t>
    </rPh>
    <phoneticPr fontId="4"/>
  </si>
  <si>
    <t>⑧：⑥＊⑦</t>
    <phoneticPr fontId="4"/>
  </si>
  <si>
    <t>所得税額</t>
    <rPh sb="0" eb="4">
      <t>ショトクゼイガク</t>
    </rPh>
    <phoneticPr fontId="4"/>
  </si>
  <si>
    <t>⑨：⑥＋⑧</t>
    <phoneticPr fontId="4"/>
  </si>
  <si>
    <t>源泉税額</t>
    <rPh sb="0" eb="4">
      <t>ゲンセンゼイガク</t>
    </rPh>
    <phoneticPr fontId="4"/>
  </si>
  <si>
    <t>申告納付額</t>
    <rPh sb="0" eb="2">
      <t>シンコク</t>
    </rPh>
    <rPh sb="2" eb="5">
      <t>ノウフガク</t>
    </rPh>
    <phoneticPr fontId="4"/>
  </si>
  <si>
    <t>住宅借入金控除残額</t>
    <rPh sb="0" eb="5">
      <t>ジュウタクシャクニュウキン</t>
    </rPh>
    <rPh sb="5" eb="7">
      <t>コウジョ</t>
    </rPh>
    <rPh sb="7" eb="9">
      <t>ザンガク</t>
    </rPh>
    <phoneticPr fontId="4"/>
  </si>
  <si>
    <t>所得税額計算(ふるさと納税無し)</t>
    <rPh sb="0" eb="4">
      <t>ショトクゼイガク</t>
    </rPh>
    <rPh sb="4" eb="6">
      <t>ケイサン</t>
    </rPh>
    <rPh sb="11" eb="14">
      <t>ノウゼイナ</t>
    </rPh>
    <phoneticPr fontId="4"/>
  </si>
  <si>
    <t>課税標準</t>
    <rPh sb="0" eb="4">
      <t>カゼイヒョウジュン</t>
    </rPh>
    <phoneticPr fontId="4"/>
  </si>
  <si>
    <t>合計所得</t>
    <rPh sb="0" eb="4">
      <t>ゴウケイショトク</t>
    </rPh>
    <phoneticPr fontId="4"/>
  </si>
  <si>
    <t>市民税</t>
    <rPh sb="0" eb="3">
      <t>シミンゼイ</t>
    </rPh>
    <phoneticPr fontId="4"/>
  </si>
  <si>
    <t>県民税</t>
    <rPh sb="0" eb="3">
      <t>ケンミンゼイ</t>
    </rPh>
    <phoneticPr fontId="4"/>
  </si>
  <si>
    <t>税率</t>
    <rPh sb="0" eb="2">
      <t>ゼイリツ</t>
    </rPh>
    <phoneticPr fontId="4"/>
  </si>
  <si>
    <t>人的控除差計</t>
    <rPh sb="0" eb="5">
      <t>ジンテキコウジョサ</t>
    </rPh>
    <rPh sb="5" eb="6">
      <t>ケイ</t>
    </rPh>
    <phoneticPr fontId="4"/>
  </si>
  <si>
    <t>調整控除</t>
    <rPh sb="0" eb="4">
      <t>チョウセイコウジョ</t>
    </rPh>
    <phoneticPr fontId="4"/>
  </si>
  <si>
    <t>減税前所得割額</t>
    <rPh sb="0" eb="3">
      <t>ゲンゼイマエ</t>
    </rPh>
    <rPh sb="3" eb="5">
      <t>ショトク</t>
    </rPh>
    <rPh sb="5" eb="7">
      <t>ワリガク</t>
    </rPh>
    <phoneticPr fontId="4"/>
  </si>
  <si>
    <t>住宅借入金特別税額控除</t>
    <rPh sb="0" eb="2">
      <t>ジュウタク</t>
    </rPh>
    <rPh sb="2" eb="5">
      <t>シャクニュウキン</t>
    </rPh>
    <rPh sb="5" eb="7">
      <t>トクベツ</t>
    </rPh>
    <rPh sb="7" eb="9">
      <t>ゼイガク</t>
    </rPh>
    <rPh sb="9" eb="11">
      <t>コウジョ</t>
    </rPh>
    <phoneticPr fontId="4"/>
  </si>
  <si>
    <t>課税総所得金額の5%</t>
    <rPh sb="0" eb="2">
      <t>カゼイ</t>
    </rPh>
    <rPh sb="2" eb="5">
      <t>ソウショトク</t>
    </rPh>
    <rPh sb="5" eb="7">
      <t>キンガク</t>
    </rPh>
    <phoneticPr fontId="4"/>
  </si>
  <si>
    <t>寄附金特例控除限度額</t>
    <rPh sb="0" eb="3">
      <t>キフキン</t>
    </rPh>
    <rPh sb="3" eb="7">
      <t>トクレイコウジョ</t>
    </rPh>
    <rPh sb="7" eb="10">
      <t>ゲンドガク</t>
    </rPh>
    <phoneticPr fontId="4"/>
  </si>
  <si>
    <t>所得割</t>
    <rPh sb="0" eb="3">
      <t>ショトクワリ</t>
    </rPh>
    <phoneticPr fontId="4"/>
  </si>
  <si>
    <t>均等割</t>
    <rPh sb="0" eb="3">
      <t>キントウワリ</t>
    </rPh>
    <phoneticPr fontId="4"/>
  </si>
  <si>
    <t>森林環境税</t>
    <rPh sb="0" eb="5">
      <t>シンリンカンキョウゼイ</t>
    </rPh>
    <phoneticPr fontId="4"/>
  </si>
  <si>
    <t>本人該当</t>
    <rPh sb="0" eb="4">
      <t>ホンニンガイトウ</t>
    </rPh>
    <phoneticPr fontId="4"/>
  </si>
  <si>
    <t>基本額</t>
    <rPh sb="0" eb="3">
      <t>キホンガク</t>
    </rPh>
    <phoneticPr fontId="4"/>
  </si>
  <si>
    <t>加算額1</t>
    <rPh sb="0" eb="3">
      <t>カサンガク</t>
    </rPh>
    <phoneticPr fontId="4"/>
  </si>
  <si>
    <t>加算額2</t>
    <rPh sb="0" eb="3">
      <t>カサンガク</t>
    </rPh>
    <phoneticPr fontId="4"/>
  </si>
  <si>
    <t>本人障害者控除</t>
    <rPh sb="0" eb="5">
      <t>ホンニンショウガイシャ</t>
    </rPh>
    <rPh sb="5" eb="7">
      <t>コウジョ</t>
    </rPh>
    <phoneticPr fontId="4"/>
  </si>
  <si>
    <t>本人年齢</t>
    <rPh sb="0" eb="2">
      <t>ホンニン</t>
    </rPh>
    <rPh sb="2" eb="4">
      <t>ネンレイ</t>
    </rPh>
    <phoneticPr fontId="4"/>
  </si>
  <si>
    <t>ひとり親・寡婦控除</t>
    <rPh sb="3" eb="4">
      <t>オヤ</t>
    </rPh>
    <rPh sb="5" eb="7">
      <t>カフ</t>
    </rPh>
    <rPh sb="7" eb="9">
      <t>コウジョ</t>
    </rPh>
    <phoneticPr fontId="4"/>
  </si>
  <si>
    <t>未成年</t>
    <rPh sb="0" eb="3">
      <t>ミセイネン</t>
    </rPh>
    <phoneticPr fontId="4"/>
  </si>
  <si>
    <t>適用数</t>
    <rPh sb="0" eb="3">
      <t>テキヨウスウ</t>
    </rPh>
    <phoneticPr fontId="4"/>
  </si>
  <si>
    <t>非課税判定額</t>
    <rPh sb="0" eb="3">
      <t>ヒカゼイ</t>
    </rPh>
    <rPh sb="3" eb="6">
      <t>ハンテイガク</t>
    </rPh>
    <phoneticPr fontId="4"/>
  </si>
  <si>
    <t>所得割非課税判定額</t>
    <rPh sb="0" eb="3">
      <t>ショトクワリ</t>
    </rPh>
    <rPh sb="3" eb="6">
      <t>ヒカゼイ</t>
    </rPh>
    <rPh sb="6" eb="9">
      <t>ハンテイガク</t>
    </rPh>
    <phoneticPr fontId="4"/>
  </si>
  <si>
    <t>均等割非課税判定額</t>
    <rPh sb="0" eb="3">
      <t>キントウワリ</t>
    </rPh>
    <rPh sb="3" eb="6">
      <t>ヒカゼイ</t>
    </rPh>
    <rPh sb="6" eb="9">
      <t>ハンテイガク</t>
    </rPh>
    <phoneticPr fontId="4"/>
  </si>
  <si>
    <t>均等割額</t>
    <rPh sb="0" eb="4">
      <t>キントウワリガク</t>
    </rPh>
    <phoneticPr fontId="4"/>
  </si>
  <si>
    <t>均等割課税額</t>
    <rPh sb="0" eb="3">
      <t>キントウワリ</t>
    </rPh>
    <rPh sb="3" eb="5">
      <t>カゼイ</t>
    </rPh>
    <rPh sb="5" eb="6">
      <t>ガク</t>
    </rPh>
    <phoneticPr fontId="4"/>
  </si>
  <si>
    <t>均等割加算課税額</t>
    <rPh sb="0" eb="3">
      <t>キントウワリ</t>
    </rPh>
    <rPh sb="3" eb="5">
      <t>カサン</t>
    </rPh>
    <rPh sb="5" eb="8">
      <t>カゼイガク</t>
    </rPh>
    <phoneticPr fontId="4"/>
  </si>
  <si>
    <t>森林環境税課税額</t>
    <rPh sb="0" eb="5">
      <t>シンリンカンキョウゼイ</t>
    </rPh>
    <rPh sb="5" eb="8">
      <t>カゼイガク</t>
    </rPh>
    <phoneticPr fontId="4"/>
  </si>
  <si>
    <t>森林環境税非課税判定額</t>
    <rPh sb="0" eb="5">
      <t>シンリンカンキョウゼイ</t>
    </rPh>
    <rPh sb="5" eb="8">
      <t>ヒカゼイ</t>
    </rPh>
    <rPh sb="8" eb="11">
      <t>ハンテイガク</t>
    </rPh>
    <phoneticPr fontId="4"/>
  </si>
  <si>
    <t>住民税(ふるさと納税無し)</t>
    <rPh sb="0" eb="3">
      <t>ジュウミンゼイ</t>
    </rPh>
    <rPh sb="8" eb="10">
      <t>ノウゼイ</t>
    </rPh>
    <rPh sb="10" eb="11">
      <t>ナ</t>
    </rPh>
    <phoneticPr fontId="4"/>
  </si>
  <si>
    <t>寄附金額(ふるさと以外)</t>
    <rPh sb="0" eb="4">
      <t>キフキンガク</t>
    </rPh>
    <rPh sb="9" eb="11">
      <t>イガイ</t>
    </rPh>
    <phoneticPr fontId="4"/>
  </si>
  <si>
    <t>総所得金額の30%</t>
    <rPh sb="0" eb="5">
      <t>ソウショトクキンガク</t>
    </rPh>
    <phoneticPr fontId="4"/>
  </si>
  <si>
    <t>寄附金税額控除</t>
    <rPh sb="0" eb="3">
      <t>キフキン</t>
    </rPh>
    <rPh sb="3" eb="5">
      <t>ゼイガク</t>
    </rPh>
    <rPh sb="5" eb="7">
      <t>コウジョ</t>
    </rPh>
    <phoneticPr fontId="4"/>
  </si>
  <si>
    <t>確定所得割額</t>
    <rPh sb="0" eb="2">
      <t>カクテイ</t>
    </rPh>
    <rPh sb="2" eb="5">
      <t>ショトクワリ</t>
    </rPh>
    <rPh sb="5" eb="6">
      <t>ガク</t>
    </rPh>
    <phoneticPr fontId="4"/>
  </si>
  <si>
    <t>森林環境税額[国税]</t>
    <rPh sb="0" eb="6">
      <t>シンリンカンキョウゼイガク</t>
    </rPh>
    <rPh sb="7" eb="9">
      <t>コクゼイ</t>
    </rPh>
    <phoneticPr fontId="4"/>
  </si>
  <si>
    <t>税額計</t>
    <rPh sb="0" eb="2">
      <t>ゼイガク</t>
    </rPh>
    <rPh sb="2" eb="3">
      <t>ケイ</t>
    </rPh>
    <phoneticPr fontId="4"/>
  </si>
  <si>
    <t>住民税額</t>
    <rPh sb="0" eb="4">
      <t>ジュウミンゼイガク</t>
    </rPh>
    <phoneticPr fontId="4"/>
  </si>
  <si>
    <t>ふるさと納税額</t>
    <rPh sb="4" eb="7">
      <t>ノウゼイガク</t>
    </rPh>
    <phoneticPr fontId="4"/>
  </si>
  <si>
    <t>寄附金額計</t>
    <rPh sb="0" eb="4">
      <t>キフキンガク</t>
    </rPh>
    <rPh sb="4" eb="5">
      <t>ケイ</t>
    </rPh>
    <phoneticPr fontId="4"/>
  </si>
  <si>
    <t>寄附金基本税額控除</t>
    <rPh sb="0" eb="3">
      <t>キフキン</t>
    </rPh>
    <rPh sb="3" eb="5">
      <t>キホン</t>
    </rPh>
    <rPh sb="5" eb="9">
      <t>ゼイガクコウジョ</t>
    </rPh>
    <phoneticPr fontId="4"/>
  </si>
  <si>
    <t>寄附金特例税額控除</t>
    <rPh sb="0" eb="3">
      <t>キフキン</t>
    </rPh>
    <rPh sb="3" eb="5">
      <t>トクレイ</t>
    </rPh>
    <rPh sb="5" eb="9">
      <t>ゼイガクコウジョ</t>
    </rPh>
    <phoneticPr fontId="4"/>
  </si>
  <si>
    <t>寄附金税額控除</t>
    <rPh sb="0" eb="3">
      <t>キフキン</t>
    </rPh>
    <rPh sb="3" eb="7">
      <t>ゼイガクコウジョ</t>
    </rPh>
    <phoneticPr fontId="4"/>
  </si>
  <si>
    <t>住民税(ふるさと納税有り：確定申告時)</t>
    <rPh sb="0" eb="3">
      <t>ジュウミンゼイ</t>
    </rPh>
    <rPh sb="8" eb="11">
      <t>ノウゼイア</t>
    </rPh>
    <rPh sb="13" eb="15">
      <t>カクテイ</t>
    </rPh>
    <rPh sb="15" eb="17">
      <t>シンコク</t>
    </rPh>
    <rPh sb="17" eb="18">
      <t>ジ</t>
    </rPh>
    <phoneticPr fontId="4"/>
  </si>
  <si>
    <t>住民税(ふるさと納税有り：ワンストップ特例申請時)</t>
    <rPh sb="0" eb="3">
      <t>ジュウミンゼイ</t>
    </rPh>
    <rPh sb="8" eb="11">
      <t>ノウゼイア</t>
    </rPh>
    <rPh sb="19" eb="21">
      <t>トクレイ</t>
    </rPh>
    <rPh sb="21" eb="23">
      <t>シンセイ</t>
    </rPh>
    <rPh sb="23" eb="24">
      <t>ジ</t>
    </rPh>
    <phoneticPr fontId="4"/>
  </si>
  <si>
    <t>申告特例控除率</t>
    <rPh sb="0" eb="2">
      <t>シンコク</t>
    </rPh>
    <rPh sb="2" eb="4">
      <t>トクレイ</t>
    </rPh>
    <rPh sb="4" eb="6">
      <t>コウジョ</t>
    </rPh>
    <rPh sb="6" eb="7">
      <t>リツ</t>
    </rPh>
    <phoneticPr fontId="4"/>
  </si>
  <si>
    <t>申告特例控除額</t>
    <rPh sb="0" eb="6">
      <t>シンコクトクレイコウジョ</t>
    </rPh>
    <rPh sb="6" eb="7">
      <t>ガク</t>
    </rPh>
    <phoneticPr fontId="4"/>
  </si>
  <si>
    <t>寄附金控除情報</t>
    <rPh sb="0" eb="3">
      <t>キフキン</t>
    </rPh>
    <rPh sb="3" eb="5">
      <t>コウジョ</t>
    </rPh>
    <rPh sb="5" eb="7">
      <t>ジョウホウ</t>
    </rPh>
    <phoneticPr fontId="4"/>
  </si>
  <si>
    <t>項目名</t>
    <rPh sb="0" eb="3">
      <t>コウモクメイ</t>
    </rPh>
    <phoneticPr fontId="4"/>
  </si>
  <si>
    <t>寄附金控除限度寄附額</t>
    <rPh sb="0" eb="3">
      <t>キフキン</t>
    </rPh>
    <rPh sb="3" eb="5">
      <t>コウジョ</t>
    </rPh>
    <rPh sb="5" eb="7">
      <t>ゲンド</t>
    </rPh>
    <rPh sb="7" eb="10">
      <t>キフガク</t>
    </rPh>
    <phoneticPr fontId="4"/>
  </si>
  <si>
    <t>寄附金特例控除限度ふるさと納税額</t>
    <rPh sb="0" eb="3">
      <t>キフキン</t>
    </rPh>
    <rPh sb="3" eb="5">
      <t>トクレイ</t>
    </rPh>
    <rPh sb="5" eb="7">
      <t>コウジョ</t>
    </rPh>
    <rPh sb="7" eb="9">
      <t>ゲンド</t>
    </rPh>
    <rPh sb="13" eb="16">
      <t>ノウゼイガク</t>
    </rPh>
    <phoneticPr fontId="4"/>
  </si>
  <si>
    <t>算出値</t>
    <rPh sb="0" eb="3">
      <t>サンシュツチ</t>
    </rPh>
    <phoneticPr fontId="4"/>
  </si>
  <si>
    <t>シミュレーター目盛り</t>
    <rPh sb="7" eb="9">
      <t>メモ</t>
    </rPh>
    <phoneticPr fontId="4"/>
  </si>
  <si>
    <t>シミュレーター目盛り表示</t>
    <rPh sb="7" eb="9">
      <t>メモ</t>
    </rPh>
    <rPh sb="10" eb="12">
      <t>ヒョウジ</t>
    </rPh>
    <phoneticPr fontId="4"/>
  </si>
  <si>
    <t>所得控除合計(寄附以外)</t>
    <rPh sb="0" eb="6">
      <t>ショトクコウジョゴウケイ</t>
    </rPh>
    <rPh sb="7" eb="9">
      <t>キフ</t>
    </rPh>
    <rPh sb="9" eb="11">
      <t>イガイ</t>
    </rPh>
    <phoneticPr fontId="4"/>
  </si>
  <si>
    <t>寄附金(ふるさと以外)</t>
    <rPh sb="0" eb="3">
      <t>キフキン</t>
    </rPh>
    <rPh sb="8" eb="10">
      <t>イガイ</t>
    </rPh>
    <phoneticPr fontId="4"/>
  </si>
  <si>
    <t>表示</t>
    <rPh sb="0" eb="2">
      <t>ヒョウジ</t>
    </rPh>
    <phoneticPr fontId="4"/>
  </si>
  <si>
    <t>表示単位</t>
    <rPh sb="0" eb="2">
      <t>ヒョウジ</t>
    </rPh>
    <rPh sb="2" eb="4">
      <t>タンイ</t>
    </rPh>
    <phoneticPr fontId="4"/>
  </si>
  <si>
    <t>寄附金</t>
    <rPh sb="0" eb="3">
      <t>キフキン</t>
    </rPh>
    <phoneticPr fontId="4"/>
  </si>
  <si>
    <t>総所得の40％</t>
    <rPh sb="0" eb="3">
      <t>ソウショトク</t>
    </rPh>
    <phoneticPr fontId="4"/>
  </si>
  <si>
    <t>寄附金控除</t>
    <rPh sb="0" eb="3">
      <t>キフキン</t>
    </rPh>
    <rPh sb="3" eb="5">
      <t>コウジョ</t>
    </rPh>
    <phoneticPr fontId="4"/>
  </si>
  <si>
    <t>所得控除合計</t>
    <rPh sb="0" eb="2">
      <t>ショトク</t>
    </rPh>
    <rPh sb="2" eb="4">
      <t>コウジョ</t>
    </rPh>
    <rPh sb="4" eb="6">
      <t>ゴウケイ</t>
    </rPh>
    <phoneticPr fontId="4"/>
  </si>
  <si>
    <t>課税所得</t>
    <rPh sb="0" eb="4">
      <t>カゼイショトク</t>
    </rPh>
    <phoneticPr fontId="4"/>
  </si>
  <si>
    <t>所得税率</t>
    <rPh sb="0" eb="4">
      <t>ショトクゼイリツ</t>
    </rPh>
    <phoneticPr fontId="4"/>
  </si>
  <si>
    <t>申告特例控除率</t>
    <rPh sb="0" eb="2">
      <t>シンコク</t>
    </rPh>
    <rPh sb="2" eb="4">
      <t>トクレイ</t>
    </rPh>
    <rPh sb="4" eb="6">
      <t>コウジョ</t>
    </rPh>
    <rPh sb="6" eb="7">
      <t>リツ</t>
    </rPh>
    <phoneticPr fontId="4"/>
  </si>
  <si>
    <t>復興特別所得税率</t>
    <rPh sb="0" eb="2">
      <t>フッコウ</t>
    </rPh>
    <rPh sb="2" eb="4">
      <t>トクベツ</t>
    </rPh>
    <rPh sb="4" eb="6">
      <t>ショトク</t>
    </rPh>
    <rPh sb="6" eb="8">
      <t>ゼイリツ</t>
    </rPh>
    <phoneticPr fontId="4"/>
  </si>
  <si>
    <t>市民税</t>
    <rPh sb="0" eb="3">
      <t>シミンゼイ</t>
    </rPh>
    <phoneticPr fontId="4"/>
  </si>
  <si>
    <t>ふるさと無し</t>
    <rPh sb="4" eb="5">
      <t>ナ</t>
    </rPh>
    <phoneticPr fontId="4"/>
  </si>
  <si>
    <t>税額</t>
    <rPh sb="0" eb="2">
      <t>ゼイガク</t>
    </rPh>
    <phoneticPr fontId="4"/>
  </si>
  <si>
    <t>確定申告</t>
    <rPh sb="0" eb="4">
      <t>カクテイシンコク</t>
    </rPh>
    <phoneticPr fontId="4"/>
  </si>
  <si>
    <t>減税前所得割額</t>
    <rPh sb="0" eb="3">
      <t>ゲンゼイマエ</t>
    </rPh>
    <rPh sb="3" eb="5">
      <t>ショトク</t>
    </rPh>
    <rPh sb="5" eb="7">
      <t>ワリガク</t>
    </rPh>
    <phoneticPr fontId="4"/>
  </si>
  <si>
    <t>県民税</t>
    <rPh sb="0" eb="3">
      <t>ケンミンゼイ</t>
    </rPh>
    <phoneticPr fontId="4"/>
  </si>
  <si>
    <t>住宅借入金特別税額控除</t>
    <rPh sb="0" eb="5">
      <t>ジュウタクシャクニュウキン</t>
    </rPh>
    <rPh sb="5" eb="7">
      <t>トクベツ</t>
    </rPh>
    <rPh sb="7" eb="9">
      <t>ゼイガク</t>
    </rPh>
    <rPh sb="9" eb="11">
      <t>コウジョ</t>
    </rPh>
    <phoneticPr fontId="4"/>
  </si>
  <si>
    <t>総所得</t>
    <rPh sb="0" eb="3">
      <t>ソウショトク</t>
    </rPh>
    <phoneticPr fontId="4"/>
  </si>
  <si>
    <t>市民税率</t>
    <rPh sb="0" eb="3">
      <t>シミンゼイ</t>
    </rPh>
    <rPh sb="3" eb="4">
      <t>リツ</t>
    </rPh>
    <phoneticPr fontId="4"/>
  </si>
  <si>
    <t>県民税率</t>
    <rPh sb="0" eb="3">
      <t>ケンミンゼイ</t>
    </rPh>
    <rPh sb="3" eb="4">
      <t>リツ</t>
    </rPh>
    <phoneticPr fontId="4"/>
  </si>
  <si>
    <t>総所得の30%</t>
    <rPh sb="0" eb="3">
      <t>ソウショトク</t>
    </rPh>
    <phoneticPr fontId="4"/>
  </si>
  <si>
    <t>寄附金基本控除</t>
    <rPh sb="0" eb="3">
      <t>キフキン</t>
    </rPh>
    <rPh sb="3" eb="5">
      <t>キホン</t>
    </rPh>
    <rPh sb="5" eb="7">
      <t>コウジョ</t>
    </rPh>
    <phoneticPr fontId="4"/>
  </si>
  <si>
    <t>特例控除限度額</t>
    <rPh sb="0" eb="4">
      <t>トクレイコウジョ</t>
    </rPh>
    <rPh sb="4" eb="7">
      <t>ゲンドガク</t>
    </rPh>
    <phoneticPr fontId="4"/>
  </si>
  <si>
    <t>寄附金特例控除</t>
    <rPh sb="0" eb="3">
      <t>キフキン</t>
    </rPh>
    <rPh sb="3" eb="5">
      <t>トクレイ</t>
    </rPh>
    <rPh sb="5" eb="7">
      <t>コウジョ</t>
    </rPh>
    <phoneticPr fontId="4"/>
  </si>
  <si>
    <t>寄附金控除額</t>
    <rPh sb="0" eb="3">
      <t>キフキン</t>
    </rPh>
    <rPh sb="3" eb="6">
      <t>コウジョガク</t>
    </rPh>
    <phoneticPr fontId="4"/>
  </si>
  <si>
    <t>確定所得割</t>
    <rPh sb="0" eb="2">
      <t>カクテイ</t>
    </rPh>
    <rPh sb="2" eb="5">
      <t>ショトクワリ</t>
    </rPh>
    <phoneticPr fontId="4"/>
  </si>
  <si>
    <t>均等割</t>
    <rPh sb="0" eb="3">
      <t>キントウワリ</t>
    </rPh>
    <phoneticPr fontId="4"/>
  </si>
  <si>
    <t>森林環境税</t>
    <rPh sb="0" eb="5">
      <t>シンリンカンキョウゼイ</t>
    </rPh>
    <phoneticPr fontId="4"/>
  </si>
  <si>
    <t>住民税額</t>
    <rPh sb="0" eb="4">
      <t>ジュウミンゼイガク</t>
    </rPh>
    <phoneticPr fontId="4"/>
  </si>
  <si>
    <t>計</t>
    <rPh sb="0" eb="1">
      <t>ケイ</t>
    </rPh>
    <phoneticPr fontId="4"/>
  </si>
  <si>
    <t>減税額</t>
    <rPh sb="0" eb="3">
      <t>ゲンゼイガク</t>
    </rPh>
    <phoneticPr fontId="4"/>
  </si>
  <si>
    <t>ワンストップ</t>
    <phoneticPr fontId="4"/>
  </si>
  <si>
    <t>申告特例控除</t>
    <rPh sb="0" eb="2">
      <t>シンコク</t>
    </rPh>
    <rPh sb="2" eb="4">
      <t>トクレイ</t>
    </rPh>
    <rPh sb="4" eb="6">
      <t>コウジョ</t>
    </rPh>
    <phoneticPr fontId="4"/>
  </si>
  <si>
    <t>基本項目</t>
    <rPh sb="0" eb="2">
      <t>キホン</t>
    </rPh>
    <rPh sb="2" eb="4">
      <t>コウモク</t>
    </rPh>
    <phoneticPr fontId="4"/>
  </si>
  <si>
    <t>所得税加算額</t>
    <rPh sb="0" eb="3">
      <t>ショトクゼイ</t>
    </rPh>
    <rPh sb="3" eb="6">
      <t>カサンガク</t>
    </rPh>
    <phoneticPr fontId="4"/>
  </si>
  <si>
    <t>所得税額</t>
    <rPh sb="0" eb="4">
      <t>ショトクゼイガク</t>
    </rPh>
    <phoneticPr fontId="4"/>
  </si>
  <si>
    <t>住宅借入金控除</t>
    <rPh sb="0" eb="2">
      <t>ジュウタク</t>
    </rPh>
    <rPh sb="2" eb="5">
      <t>シャクニュウキン</t>
    </rPh>
    <rPh sb="5" eb="7">
      <t>コウジョ</t>
    </rPh>
    <phoneticPr fontId="4"/>
  </si>
  <si>
    <t>差引税額</t>
    <rPh sb="0" eb="2">
      <t>サシヒキ</t>
    </rPh>
    <rPh sb="2" eb="4">
      <t>ゼイガク</t>
    </rPh>
    <phoneticPr fontId="4"/>
  </si>
  <si>
    <t>源泉税額</t>
    <rPh sb="0" eb="4">
      <t>ゲンセンゼイガク</t>
    </rPh>
    <phoneticPr fontId="4"/>
  </si>
  <si>
    <t>申告納税額</t>
    <rPh sb="0" eb="2">
      <t>シンコク</t>
    </rPh>
    <rPh sb="2" eb="5">
      <t>ノウゼイガク</t>
    </rPh>
    <phoneticPr fontId="4"/>
  </si>
  <si>
    <t>ふるさと納税額</t>
    <rPh sb="4" eb="7">
      <t>ノウゼイガク</t>
    </rPh>
    <phoneticPr fontId="4"/>
  </si>
  <si>
    <t>住民税減税額</t>
    <rPh sb="0" eb="3">
      <t>ジュウミンゼイ</t>
    </rPh>
    <rPh sb="3" eb="6">
      <t>ゲンゼイガク</t>
    </rPh>
    <phoneticPr fontId="4"/>
  </si>
  <si>
    <t>ワンストップ特例</t>
    <rPh sb="6" eb="8">
      <t>トクレイ</t>
    </rPh>
    <phoneticPr fontId="4"/>
  </si>
  <si>
    <t>所得税</t>
    <rPh sb="0" eb="3">
      <t>ショトクゼイ</t>
    </rPh>
    <phoneticPr fontId="4"/>
  </si>
  <si>
    <t>納付</t>
    <rPh sb="0" eb="2">
      <t>ノウフ</t>
    </rPh>
    <phoneticPr fontId="4"/>
  </si>
  <si>
    <t>還付</t>
    <rPh sb="0" eb="2">
      <t>カンプ</t>
    </rPh>
    <phoneticPr fontId="4"/>
  </si>
  <si>
    <t>（単位：円）</t>
    <rPh sb="1" eb="3">
      <t>タンイ</t>
    </rPh>
    <rPh sb="4" eb="5">
      <t>エン</t>
    </rPh>
    <phoneticPr fontId="4"/>
  </si>
  <si>
    <t>シミュレーター文言</t>
    <rPh sb="7" eb="9">
      <t>モンゴン</t>
    </rPh>
    <phoneticPr fontId="4"/>
  </si>
  <si>
    <t>ワンストップ適用</t>
    <rPh sb="6" eb="8">
      <t>テキヨウ</t>
    </rPh>
    <phoneticPr fontId="4"/>
  </si>
  <si>
    <t>⇒</t>
    <phoneticPr fontId="4"/>
  </si>
  <si>
    <t>年金以外の合計所得判定列</t>
    <rPh sb="0" eb="2">
      <t>ネンキン</t>
    </rPh>
    <rPh sb="2" eb="4">
      <t>イガイ</t>
    </rPh>
    <rPh sb="5" eb="7">
      <t>ゴウケイ</t>
    </rPh>
    <rPh sb="7" eb="9">
      <t>ショトク</t>
    </rPh>
    <rPh sb="9" eb="12">
      <t>ハンテイレツ</t>
    </rPh>
    <phoneticPr fontId="4"/>
  </si>
  <si>
    <t>計算結果</t>
    <rPh sb="0" eb="4">
      <t>ケイサンケッカ</t>
    </rPh>
    <phoneticPr fontId="4"/>
  </si>
  <si>
    <t>行番号</t>
    <rPh sb="0" eb="3">
      <t>ギョウバンゴウ</t>
    </rPh>
    <phoneticPr fontId="4"/>
  </si>
  <si>
    <t>年金所得</t>
    <rPh sb="0" eb="4">
      <t>ネンキンショトク</t>
    </rPh>
    <phoneticPr fontId="4"/>
  </si>
  <si>
    <t>特別障害</t>
    <rPh sb="0" eb="4">
      <t>トクベツショウガイ</t>
    </rPh>
    <phoneticPr fontId="4"/>
  </si>
  <si>
    <t>23歳未満の扶養親族</t>
    <rPh sb="2" eb="5">
      <t>サイミマン</t>
    </rPh>
    <rPh sb="6" eb="8">
      <t>フヨウ</t>
    </rPh>
    <rPh sb="8" eb="10">
      <t>シンゾク</t>
    </rPh>
    <phoneticPr fontId="4"/>
  </si>
  <si>
    <t>所得金額調整控除１</t>
    <rPh sb="0" eb="4">
      <t>ショトクキンガク</t>
    </rPh>
    <rPh sb="4" eb="8">
      <t>チョウセイコウジョ</t>
    </rPh>
    <phoneticPr fontId="4"/>
  </si>
  <si>
    <t>項目名</t>
    <rPh sb="0" eb="3">
      <t>コウモクメイ</t>
    </rPh>
    <phoneticPr fontId="4"/>
  </si>
  <si>
    <t>入力値</t>
    <rPh sb="0" eb="3">
      <t>ニュウリョクチ</t>
    </rPh>
    <phoneticPr fontId="4"/>
  </si>
  <si>
    <t>D</t>
    <phoneticPr fontId="4"/>
  </si>
  <si>
    <t>E</t>
    <phoneticPr fontId="4"/>
  </si>
  <si>
    <t>F</t>
    <phoneticPr fontId="4"/>
  </si>
  <si>
    <t>所得金額調整控除２</t>
    <rPh sb="0" eb="4">
      <t>ショトクキンガク</t>
    </rPh>
    <rPh sb="4" eb="8">
      <t>チョウセイコウジョ</t>
    </rPh>
    <phoneticPr fontId="4"/>
  </si>
  <si>
    <t>G</t>
    <phoneticPr fontId="4"/>
  </si>
  <si>
    <t>H</t>
    <phoneticPr fontId="4"/>
  </si>
  <si>
    <t>I</t>
    <phoneticPr fontId="4"/>
  </si>
  <si>
    <t>↓</t>
    <phoneticPr fontId="4"/>
  </si>
  <si>
    <t>歳</t>
    <rPh sb="0" eb="1">
      <t>サイ</t>
    </rPh>
    <phoneticPr fontId="4"/>
  </si>
  <si>
    <t>・・・会社などの年末調整の対象とならない所得・控除の
　　情報を入力してください。</t>
    <rPh sb="3" eb="5">
      <t>カイシャ</t>
    </rPh>
    <rPh sb="8" eb="10">
      <t>ネンマツ</t>
    </rPh>
    <rPh sb="10" eb="12">
      <t>チョウセイ</t>
    </rPh>
    <rPh sb="13" eb="15">
      <t>タイショウ</t>
    </rPh>
    <rPh sb="20" eb="22">
      <t>ショトク</t>
    </rPh>
    <rPh sb="23" eb="25">
      <t>コウジョ</t>
    </rPh>
    <rPh sb="29" eb="31">
      <t>ジョウホウ</t>
    </rPh>
    <rPh sb="32" eb="34">
      <t>ニュウリョク</t>
    </rPh>
    <phoneticPr fontId="4"/>
  </si>
  <si>
    <t>・・・寄附してみたいふるさと納税額を入力してください。</t>
    <rPh sb="3" eb="5">
      <t>キフ</t>
    </rPh>
    <rPh sb="14" eb="17">
      <t>ノウゼイガク</t>
    </rPh>
    <rPh sb="18" eb="20">
      <t>ニュウリョク</t>
    </rPh>
    <phoneticPr fontId="4"/>
  </si>
  <si>
    <t>・・・源泉徴収票に記載された情報を入力してください。
　　ただし、年末調整で出し忘れたものがあれば合算して
　　入力してください。</t>
    <rPh sb="3" eb="8">
      <t>ゲンセンチョウシュウヒョウ</t>
    </rPh>
    <rPh sb="9" eb="11">
      <t>キサイ</t>
    </rPh>
    <rPh sb="14" eb="16">
      <t>ジョウホウ</t>
    </rPh>
    <rPh sb="17" eb="19">
      <t>ニュウリョク</t>
    </rPh>
    <rPh sb="33" eb="37">
      <t>ネンマツチョウセイ</t>
    </rPh>
    <rPh sb="38" eb="39">
      <t>ダ</t>
    </rPh>
    <rPh sb="40" eb="41">
      <t>ワス</t>
    </rPh>
    <rPh sb="49" eb="51">
      <t>ガッサン</t>
    </rPh>
    <rPh sb="56" eb="58">
      <t>ニュウリョク</t>
    </rPh>
    <phoneticPr fontId="4"/>
  </si>
  <si>
    <t>自分で納めている分</t>
    <rPh sb="0" eb="2">
      <t>ジブン</t>
    </rPh>
    <rPh sb="3" eb="4">
      <t>オサ</t>
    </rPh>
    <rPh sb="8" eb="9">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</si>
</sst>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0000;[Red]\-#,##0.0000000000"/>
  </numFmts>
  <fonts count="12">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11"/>
      <color theme="1"/>
      <name val="HG丸ｺﾞｼｯｸM-PRO"/>
      <family val="3"/>
      <charset val="128"/>
    </font>
    <font>
      <sz val="6"/>
      <name val="ＭＳ Ｐゴシック"/>
      <family val="2"/>
      <charset val="128"/>
    </font>
    <font>
      <b/>
      <sz val="11"/>
      <color theme="1"/>
      <name val="HG丸ｺﾞｼｯｸM-PRO"/>
      <family val="3"/>
      <charset val="128"/>
    </font>
    <font>
      <sz val="10"/>
      <color theme="1"/>
      <name val="HG丸ｺﾞｼｯｸM-PRO"/>
      <family val="3"/>
      <charset val="128"/>
    </font>
    <font>
      <b/>
      <sz val="11"/>
      <color theme="1"/>
      <name val="ＭＳ Ｐゴシック"/>
      <family val="3"/>
      <charset val="128"/>
    </font>
    <font>
      <sz val="9"/>
      <color theme="1"/>
      <name val="HG丸ｺﾞｼｯｸM-PRO"/>
      <family val="3"/>
      <charset val="128"/>
    </font>
    <font>
      <sz val="20"/>
      <color theme="1"/>
      <name val="ＭＳ Ｐゴシック"/>
      <family val="3"/>
      <charset val="128"/>
    </font>
    <font>
      <sz val="6"/>
      <color theme="1"/>
      <name val="ＭＳ Ｐゴシック"/>
      <family val="2"/>
      <charset val="128"/>
    </font>
    <font>
      <sz val="12"/>
      <color indexed="81"/>
      <name val="MS P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5">
    <xf numFmtId="0" fontId="0" fillId="0" borderId="0" xfId="0">
      <alignment vertical="center"/>
    </xf>
    <xf numFmtId="0" fontId="3" fillId="0" borderId="0" xfId="0" applyFont="1" applyAlignment="1">
      <alignment vertical="center"/>
    </xf>
    <xf numFmtId="0" fontId="3" fillId="0" borderId="0" xfId="0" applyFont="1" applyAlignment="1">
      <alignment vertical="center" shrinkToFit="1"/>
    </xf>
    <xf numFmtId="0" fontId="3" fillId="0" borderId="0" xfId="0" applyFont="1">
      <alignment vertical="center"/>
    </xf>
    <xf numFmtId="0" fontId="3" fillId="0" borderId="1" xfId="0" applyFont="1" applyBorder="1" applyAlignment="1">
      <alignment vertical="center" shrinkToFit="1"/>
    </xf>
    <xf numFmtId="0" fontId="3" fillId="2" borderId="1" xfId="0" applyFont="1" applyFill="1" applyBorder="1" applyProtection="1">
      <alignment vertical="center"/>
      <protection locked="0"/>
    </xf>
    <xf numFmtId="38" fontId="3" fillId="2" borderId="1" xfId="1" applyFont="1" applyFill="1" applyBorder="1" applyProtection="1">
      <alignment vertical="center"/>
      <protection locked="0"/>
    </xf>
    <xf numFmtId="38" fontId="3" fillId="3" borderId="1" xfId="1" applyFont="1" applyFill="1" applyBorder="1" applyProtection="1">
      <alignment vertical="center"/>
      <protection locked="0"/>
    </xf>
    <xf numFmtId="38" fontId="5" fillId="4" borderId="1" xfId="1" applyFont="1" applyFill="1" applyBorder="1" applyProtection="1">
      <alignment vertical="center"/>
      <protection locked="0"/>
    </xf>
    <xf numFmtId="0" fontId="3" fillId="0" borderId="3" xfId="0" applyFont="1" applyBorder="1" applyAlignment="1">
      <alignment vertical="center" shrinkToFit="1"/>
    </xf>
    <xf numFmtId="0" fontId="0" fillId="0" borderId="1" xfId="0" applyBorder="1">
      <alignment vertical="center"/>
    </xf>
    <xf numFmtId="38" fontId="0" fillId="0" borderId="1" xfId="0" applyNumberFormat="1" applyBorder="1">
      <alignment vertical="center"/>
    </xf>
    <xf numFmtId="0" fontId="0" fillId="0" borderId="1" xfId="0" applyBorder="1" applyAlignment="1">
      <alignment horizontal="center" vertical="center"/>
    </xf>
    <xf numFmtId="38" fontId="0" fillId="5" borderId="1" xfId="1" applyFont="1" applyFill="1" applyBorder="1">
      <alignment vertical="center"/>
    </xf>
    <xf numFmtId="38" fontId="0" fillId="0" borderId="1" xfId="1" applyFont="1" applyBorder="1">
      <alignment vertical="center"/>
    </xf>
    <xf numFmtId="0" fontId="3" fillId="0" borderId="1" xfId="0" applyFont="1" applyBorder="1" applyAlignment="1">
      <alignment vertical="center" shrinkToFit="1"/>
    </xf>
    <xf numFmtId="0" fontId="0" fillId="0" borderId="0" xfId="0" applyFill="1" applyBorder="1">
      <alignment vertical="center"/>
    </xf>
    <xf numFmtId="0" fontId="0" fillId="0" borderId="1" xfId="0" applyFill="1" applyBorder="1">
      <alignment vertical="center"/>
    </xf>
    <xf numFmtId="0" fontId="0" fillId="0" borderId="1" xfId="0" applyBorder="1" applyAlignment="1">
      <alignment vertical="center" shrinkToFit="1"/>
    </xf>
    <xf numFmtId="38" fontId="0" fillId="0" borderId="1" xfId="1" applyFont="1" applyFill="1" applyBorder="1">
      <alignment vertical="center"/>
    </xf>
    <xf numFmtId="38" fontId="0" fillId="0" borderId="1" xfId="0" applyNumberFormat="1" applyBorder="1" applyAlignment="1">
      <alignment vertical="center" shrinkToFit="1"/>
    </xf>
    <xf numFmtId="0" fontId="0" fillId="0" borderId="0" xfId="0" applyAlignment="1">
      <alignment vertical="center" shrinkToFit="1"/>
    </xf>
    <xf numFmtId="0" fontId="0" fillId="0" borderId="1" xfId="0" applyFill="1"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vertical="center" shrinkToFit="1"/>
    </xf>
    <xf numFmtId="0" fontId="0" fillId="0" borderId="0" xfId="0" applyFill="1" applyBorder="1" applyAlignment="1">
      <alignment vertical="center" shrinkToFit="1"/>
    </xf>
    <xf numFmtId="0" fontId="0" fillId="0" borderId="0" xfId="1" applyNumberFormat="1" applyFont="1" applyFill="1" applyBorder="1">
      <alignment vertical="center"/>
    </xf>
    <xf numFmtId="38" fontId="0" fillId="0" borderId="1" xfId="1" applyFont="1" applyBorder="1" applyAlignment="1">
      <alignment vertical="center" shrinkToFit="1"/>
    </xf>
    <xf numFmtId="38" fontId="0" fillId="5" borderId="1" xfId="1" applyFont="1" applyFill="1" applyBorder="1" applyProtection="1">
      <alignment vertical="center"/>
      <protection locked="0"/>
    </xf>
    <xf numFmtId="0" fontId="0" fillId="5" borderId="1" xfId="0" applyFill="1" applyBorder="1" applyProtection="1">
      <alignment vertical="center"/>
      <protection locked="0"/>
    </xf>
    <xf numFmtId="38" fontId="0" fillId="5" borderId="1" xfId="1" applyFont="1" applyFill="1" applyBorder="1" applyAlignment="1" applyProtection="1">
      <alignment vertical="center" shrinkToFit="1"/>
      <protection locked="0"/>
    </xf>
    <xf numFmtId="38" fontId="0" fillId="5" borderId="1" xfId="0" applyNumberFormat="1" applyFill="1" applyBorder="1" applyProtection="1">
      <alignment vertical="center"/>
      <protection locked="0"/>
    </xf>
    <xf numFmtId="0" fontId="0" fillId="0" borderId="1" xfId="0" applyBorder="1" applyAlignment="1" applyProtection="1">
      <alignment vertical="center" shrinkToFit="1"/>
    </xf>
    <xf numFmtId="9" fontId="0" fillId="0" borderId="1" xfId="2" applyFont="1" applyBorder="1">
      <alignment vertical="center"/>
    </xf>
    <xf numFmtId="176" fontId="0" fillId="0" borderId="1" xfId="2" applyNumberFormat="1" applyFont="1" applyFill="1" applyBorder="1">
      <alignment vertical="center"/>
    </xf>
    <xf numFmtId="0" fontId="0" fillId="6" borderId="1" xfId="0" applyFill="1" applyBorder="1" applyAlignment="1">
      <alignment vertical="center" shrinkToFit="1"/>
    </xf>
    <xf numFmtId="38" fontId="0" fillId="6" borderId="1" xfId="0" applyNumberFormat="1" applyFill="1" applyBorder="1">
      <alignment vertical="center"/>
    </xf>
    <xf numFmtId="38" fontId="0" fillId="6" borderId="1" xfId="1" applyFont="1" applyFill="1" applyBorder="1">
      <alignment vertical="center"/>
    </xf>
    <xf numFmtId="38" fontId="7" fillId="4" borderId="1" xfId="0" applyNumberFormat="1" applyFont="1" applyFill="1" applyBorder="1">
      <alignment vertical="center"/>
    </xf>
    <xf numFmtId="38" fontId="0" fillId="0" borderId="1" xfId="0" applyNumberFormat="1" applyFill="1" applyBorder="1">
      <alignment vertical="center"/>
    </xf>
    <xf numFmtId="9" fontId="0" fillId="0" borderId="1" xfId="0" applyNumberFormat="1" applyBorder="1">
      <alignment vertical="center"/>
    </xf>
    <xf numFmtId="176" fontId="0" fillId="0" borderId="1" xfId="0" applyNumberFormat="1" applyBorder="1">
      <alignment vertical="center"/>
    </xf>
    <xf numFmtId="0" fontId="7" fillId="0" borderId="1" xfId="0" applyFont="1" applyFill="1" applyBorder="1">
      <alignment vertical="center"/>
    </xf>
    <xf numFmtId="38" fontId="7" fillId="4" borderId="1" xfId="1" applyFont="1" applyFill="1" applyBorder="1">
      <alignment vertical="center"/>
    </xf>
    <xf numFmtId="0" fontId="0" fillId="0" borderId="1" xfId="0" applyBorder="1" applyAlignment="1">
      <alignment horizontal="center" vertical="center" shrinkToFit="1"/>
    </xf>
    <xf numFmtId="0" fontId="0" fillId="0" borderId="4" xfId="0" applyFill="1" applyBorder="1" applyAlignment="1">
      <alignment vertical="center" shrinkToFit="1"/>
    </xf>
    <xf numFmtId="0" fontId="0" fillId="0" borderId="3" xfId="0" applyFill="1" applyBorder="1" applyAlignment="1">
      <alignment vertical="center" shrinkToFit="1"/>
    </xf>
    <xf numFmtId="0" fontId="0" fillId="0" borderId="1" xfId="0" applyBorder="1" applyAlignment="1">
      <alignment horizontal="right" vertical="center" shrinkToFit="1"/>
    </xf>
    <xf numFmtId="9" fontId="0" fillId="0" borderId="1" xfId="2" applyFont="1" applyBorder="1" applyAlignment="1">
      <alignment vertical="center" shrinkToFit="1"/>
    </xf>
    <xf numFmtId="176" fontId="0" fillId="0" borderId="1" xfId="2" applyNumberFormat="1" applyFont="1" applyBorder="1" applyAlignment="1">
      <alignment vertical="center" shrinkToFit="1"/>
    </xf>
    <xf numFmtId="9" fontId="0" fillId="0" borderId="1" xfId="0" applyNumberFormat="1" applyBorder="1" applyAlignment="1">
      <alignment vertical="center" shrinkToFit="1"/>
    </xf>
    <xf numFmtId="38" fontId="0" fillId="0" borderId="5" xfId="1" applyFont="1" applyBorder="1" applyAlignment="1">
      <alignment vertical="center" shrinkToFit="1"/>
    </xf>
    <xf numFmtId="0" fontId="8" fillId="7" borderId="0" xfId="0" applyFont="1" applyFill="1">
      <alignment vertical="center"/>
    </xf>
    <xf numFmtId="0" fontId="8" fillId="7" borderId="0" xfId="0" applyFont="1" applyFill="1" applyAlignment="1">
      <alignment horizontal="right" vertical="center"/>
    </xf>
    <xf numFmtId="0" fontId="8" fillId="7" borderId="1" xfId="0" applyFont="1" applyFill="1" applyBorder="1" applyAlignment="1">
      <alignment horizontal="center" vertical="center" shrinkToFit="1"/>
    </xf>
    <xf numFmtId="38" fontId="8" fillId="7" borderId="1" xfId="0" applyNumberFormat="1" applyFont="1" applyFill="1" applyBorder="1" applyAlignment="1">
      <alignment horizontal="right" vertical="center" shrinkToFit="1"/>
    </xf>
    <xf numFmtId="0" fontId="8" fillId="7" borderId="1" xfId="0" applyFont="1" applyFill="1" applyBorder="1" applyAlignment="1">
      <alignment vertical="center" shrinkToFit="1"/>
    </xf>
    <xf numFmtId="38" fontId="8" fillId="7" borderId="1" xfId="1" applyFont="1" applyFill="1" applyBorder="1" applyAlignment="1">
      <alignment vertical="center" shrinkToFit="1"/>
    </xf>
    <xf numFmtId="177" fontId="0" fillId="5" borderId="1" xfId="1" applyNumberFormat="1" applyFont="1" applyFill="1" applyBorder="1" applyProtection="1">
      <alignment vertical="center"/>
      <protection locked="0"/>
    </xf>
    <xf numFmtId="9" fontId="0" fillId="5" borderId="1" xfId="2" applyFont="1" applyFill="1" applyBorder="1" applyProtection="1">
      <alignment vertical="center"/>
      <protection locked="0"/>
    </xf>
    <xf numFmtId="176" fontId="0" fillId="5" borderId="1" xfId="2" applyNumberFormat="1" applyFont="1" applyFill="1" applyBorder="1" applyProtection="1">
      <alignment vertical="center"/>
      <protection locked="0"/>
    </xf>
    <xf numFmtId="0" fontId="0" fillId="5" borderId="1" xfId="0" applyFill="1" applyBorder="1">
      <alignment vertical="center"/>
    </xf>
    <xf numFmtId="0" fontId="0" fillId="8" borderId="1" xfId="0" applyFill="1" applyBorder="1" applyAlignment="1">
      <alignment vertical="center" shrinkToFit="1"/>
    </xf>
    <xf numFmtId="38" fontId="0" fillId="8" borderId="1" xfId="1" applyFont="1" applyFill="1" applyBorder="1">
      <alignment vertical="center"/>
    </xf>
    <xf numFmtId="38" fontId="0" fillId="8" borderId="1" xfId="0" applyNumberFormat="1" applyFill="1" applyBorder="1">
      <alignment vertical="center"/>
    </xf>
    <xf numFmtId="0" fontId="0" fillId="8" borderId="1" xfId="0" applyFill="1" applyBorder="1">
      <alignment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0" borderId="0" xfId="0" applyAlignment="1">
      <alignment vertical="top" wrapText="1"/>
    </xf>
    <xf numFmtId="0" fontId="0" fillId="4" borderId="0" xfId="0" applyFill="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shrinkToFit="1"/>
    </xf>
    <xf numFmtId="0" fontId="3" fillId="0" borderId="1" xfId="0" applyFont="1" applyFill="1" applyBorder="1" applyAlignment="1">
      <alignment vertical="center" shrinkToFit="1"/>
    </xf>
    <xf numFmtId="0" fontId="3" fillId="0" borderId="1" xfId="0" applyFont="1" applyBorder="1" applyAlignment="1">
      <alignment vertical="center" wrapText="1" shrinkToFit="1"/>
    </xf>
    <xf numFmtId="0" fontId="6" fillId="0" borderId="1" xfId="0" applyFont="1" applyBorder="1" applyAlignment="1">
      <alignment vertical="center" wrapText="1" shrinkToFit="1"/>
    </xf>
    <xf numFmtId="0" fontId="6" fillId="0" borderId="1" xfId="0" applyFont="1" applyBorder="1" applyAlignment="1">
      <alignment vertical="center" shrinkToFit="1"/>
    </xf>
    <xf numFmtId="0" fontId="5" fillId="0" borderId="1" xfId="0" applyFont="1" applyBorder="1" applyAlignment="1">
      <alignment vertical="center"/>
    </xf>
    <xf numFmtId="0" fontId="3" fillId="0" borderId="1" xfId="0" applyFont="1" applyBorder="1" applyAlignment="1">
      <alignment vertical="center" textRotation="255"/>
    </xf>
    <xf numFmtId="0" fontId="3" fillId="0" borderId="1" xfId="0" applyFont="1" applyBorder="1" applyAlignment="1">
      <alignment vertical="top" shrinkToFit="1"/>
    </xf>
    <xf numFmtId="0" fontId="3" fillId="3" borderId="2"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0" fontId="3" fillId="3" borderId="3" xfId="0" applyFont="1" applyFill="1" applyBorder="1" applyAlignment="1">
      <alignment horizontal="center" vertical="center" textRotation="255" shrinkToFit="1"/>
    </xf>
    <xf numFmtId="0" fontId="3" fillId="0" borderId="2" xfId="0" applyFont="1" applyBorder="1" applyAlignment="1">
      <alignment vertical="center" shrinkToFit="1"/>
    </xf>
    <xf numFmtId="0" fontId="3" fillId="0" borderId="2" xfId="0" applyFont="1" applyBorder="1" applyAlignment="1">
      <alignment vertical="center" wrapText="1" shrinkToFit="1"/>
    </xf>
    <xf numFmtId="0" fontId="3" fillId="0" borderId="4" xfId="0" applyFont="1" applyBorder="1" applyAlignment="1">
      <alignment vertical="center" wrapText="1" shrinkToFit="1"/>
    </xf>
    <xf numFmtId="0" fontId="3" fillId="0" borderId="3" xfId="0" applyFont="1" applyBorder="1" applyAlignment="1">
      <alignment vertical="center" wrapText="1" shrinkToFit="1"/>
    </xf>
    <xf numFmtId="0" fontId="8" fillId="7" borderId="12" xfId="0" applyFont="1" applyFill="1" applyBorder="1" applyAlignment="1">
      <alignment horizontal="center" vertical="center" shrinkToFit="1"/>
    </xf>
    <xf numFmtId="0" fontId="8" fillId="7" borderId="13" xfId="0" applyFont="1" applyFill="1" applyBorder="1" applyAlignment="1">
      <alignment horizontal="center" vertical="center" shrinkToFit="1"/>
    </xf>
    <xf numFmtId="0" fontId="8" fillId="7" borderId="5" xfId="0" applyFont="1" applyFill="1" applyBorder="1" applyAlignment="1">
      <alignment horizontal="center" vertical="center" shrinkToFit="1"/>
    </xf>
    <xf numFmtId="0" fontId="7" fillId="0" borderId="1" xfId="0" applyFont="1" applyBorder="1" applyAlignment="1">
      <alignment horizontal="center" vertical="center"/>
    </xf>
    <xf numFmtId="0" fontId="8" fillId="7" borderId="2" xfId="0" applyFont="1" applyFill="1" applyBorder="1" applyAlignment="1">
      <alignment horizontal="center" vertical="center" shrinkToFit="1"/>
    </xf>
    <xf numFmtId="0" fontId="8" fillId="7" borderId="3" xfId="0" applyFont="1" applyFill="1" applyBorder="1" applyAlignment="1">
      <alignment horizontal="center" vertical="center" shrinkToFit="1"/>
    </xf>
    <xf numFmtId="0" fontId="8" fillId="7" borderId="4" xfId="0" applyFont="1" applyFill="1"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14" xfId="0" applyBorder="1" applyAlignment="1">
      <alignment horizontal="center"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4"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r>
              <a:rPr lang="ja-JP" altLang="en-US" sz="1200" b="1"/>
              <a:t>住民税額の減税額試算結果</a:t>
            </a:r>
          </a:p>
        </c:rich>
      </c:tx>
      <c:layout>
        <c:manualLayout>
          <c:xMode val="edge"/>
          <c:yMode val="edge"/>
          <c:x val="0.37730078983746523"/>
          <c:y val="0.90528870217675295"/>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5.3175613322307316E-2"/>
          <c:y val="9.128417455351516E-2"/>
          <c:w val="0.93444372535624831"/>
          <c:h val="0.65620014893043865"/>
        </c:manualLayout>
      </c:layout>
      <c:lineChart>
        <c:grouping val="standard"/>
        <c:varyColors val="0"/>
        <c:ser>
          <c:idx val="0"/>
          <c:order val="0"/>
          <c:tx>
            <c:v>確定申告</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申告計算!$X$2:$AR$2</c:f>
              <c:strCache>
                <c:ptCount val="21"/>
                <c:pt idx="0">
                  <c:v>0円</c:v>
                </c:pt>
                <c:pt idx="1">
                  <c:v>1千円</c:v>
                </c:pt>
                <c:pt idx="2">
                  <c:v>2千円</c:v>
                </c:pt>
                <c:pt idx="3">
                  <c:v>3千円</c:v>
                </c:pt>
                <c:pt idx="4">
                  <c:v>4千円</c:v>
                </c:pt>
                <c:pt idx="5">
                  <c:v>5千円</c:v>
                </c:pt>
                <c:pt idx="6">
                  <c:v>6千円</c:v>
                </c:pt>
                <c:pt idx="7">
                  <c:v>7千円</c:v>
                </c:pt>
                <c:pt idx="8">
                  <c:v>8千円</c:v>
                </c:pt>
                <c:pt idx="9">
                  <c:v>9千円</c:v>
                </c:pt>
                <c:pt idx="10">
                  <c:v>10千円</c:v>
                </c:pt>
                <c:pt idx="11">
                  <c:v>11千円</c:v>
                </c:pt>
                <c:pt idx="12">
                  <c:v>12千円</c:v>
                </c:pt>
                <c:pt idx="13">
                  <c:v>13千円</c:v>
                </c:pt>
                <c:pt idx="14">
                  <c:v>14千円</c:v>
                </c:pt>
                <c:pt idx="15">
                  <c:v>15千円</c:v>
                </c:pt>
                <c:pt idx="16">
                  <c:v>16千円</c:v>
                </c:pt>
                <c:pt idx="17">
                  <c:v>17千円</c:v>
                </c:pt>
                <c:pt idx="18">
                  <c:v>18千円</c:v>
                </c:pt>
                <c:pt idx="19">
                  <c:v>19千円</c:v>
                </c:pt>
                <c:pt idx="20">
                  <c:v>20千円</c:v>
                </c:pt>
              </c:strCache>
            </c:strRef>
          </c:cat>
          <c:val>
            <c:numRef>
              <c:f>申告計算!$X$3:$AR$3</c:f>
              <c:numCache>
                <c:formatCode>#,##0_);[Red]\(#,##0\)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0-4A02-4C25-A555-8BC8D17F9C01}"/>
            </c:ext>
          </c:extLst>
        </c:ser>
        <c:ser>
          <c:idx val="1"/>
          <c:order val="1"/>
          <c:tx>
            <c:v>ワンストップ特例</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申告計算!$X$6:$AR$6</c:f>
              <c:numCache>
                <c:formatCode>#,##0_);[Red]\(#,##0\)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1-4A02-4C25-A555-8BC8D17F9C01}"/>
            </c:ext>
          </c:extLst>
        </c:ser>
        <c:dLbls>
          <c:showLegendKey val="0"/>
          <c:showVal val="0"/>
          <c:showCatName val="0"/>
          <c:showSerName val="0"/>
          <c:showPercent val="0"/>
          <c:showBubbleSize val="0"/>
        </c:dLbls>
        <c:marker val="1"/>
        <c:smooth val="0"/>
        <c:axId val="375207248"/>
        <c:axId val="375084576"/>
      </c:lineChart>
      <c:catAx>
        <c:axId val="3752072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r>
                  <a:rPr lang="ja-JP" altLang="en-US"/>
                  <a:t>ふるさと納税額</a:t>
                </a:r>
                <a:endParaRPr lang="ja-JP"/>
              </a:p>
            </c:rich>
          </c:tx>
          <c:layout>
            <c:manualLayout>
              <c:xMode val="edge"/>
              <c:yMode val="edge"/>
              <c:x val="0.46161937994409624"/>
              <c:y val="0.8427200345875450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375084576"/>
        <c:crosses val="autoZero"/>
        <c:auto val="1"/>
        <c:lblAlgn val="ctr"/>
        <c:lblOffset val="100"/>
        <c:tickLblSkip val="2"/>
        <c:noMultiLvlLbl val="0"/>
      </c:catAx>
      <c:valAx>
        <c:axId val="375084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r>
                  <a:rPr lang="ja-JP" altLang="en-US"/>
                  <a:t>控除される税</a:t>
                </a:r>
                <a:r>
                  <a:rPr lang="ja-JP"/>
                  <a:t>額</a:t>
                </a:r>
                <a:r>
                  <a:rPr lang="en-US"/>
                  <a:t>(</a:t>
                </a:r>
                <a:r>
                  <a:rPr lang="ja-JP"/>
                  <a:t>千円</a:t>
                </a:r>
                <a:r>
                  <a:rPr lang="en-US"/>
                  <a:t>)</a:t>
                </a:r>
                <a:endParaRPr lang="ja-JP"/>
              </a:p>
            </c:rich>
          </c:tx>
          <c:layout>
            <c:manualLayout>
              <c:xMode val="edge"/>
              <c:yMode val="edge"/>
              <c:x val="2.9670363130362759E-3"/>
              <c:y val="1.202570857475330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title>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375207248"/>
        <c:crosses val="autoZero"/>
        <c:crossBetween val="between"/>
        <c:dispUnits>
          <c:builtInUnit val="thousands"/>
        </c:dispUnits>
      </c:valAx>
      <c:spPr>
        <a:noFill/>
        <a:ln>
          <a:noFill/>
        </a:ln>
        <a:effectLst/>
      </c:spPr>
    </c:plotArea>
    <c:legend>
      <c:legendPos val="r"/>
      <c:layout>
        <c:manualLayout>
          <c:xMode val="edge"/>
          <c:yMode val="edge"/>
          <c:x val="5.9551430781129157E-2"/>
          <c:y val="9.8373301154132314E-2"/>
          <c:w val="0.27996906419180201"/>
          <c:h val="6.71456874767983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accent4"/>
      </a:solidFill>
      <a:round/>
    </a:ln>
    <a:effectLst/>
  </c:spPr>
  <c:txPr>
    <a:bodyPr/>
    <a:lstStyle/>
    <a:p>
      <a:pPr>
        <a:defRPr>
          <a:solidFill>
            <a:schemeClr val="tx1"/>
          </a:solidFill>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323850</xdr:colOff>
      <xdr:row>26</xdr:row>
      <xdr:rowOff>107280</xdr:rowOff>
    </xdr:to>
    <xdr:pic>
      <xdr:nvPicPr>
        <xdr:cNvPr id="40" name="図 39">
          <a:extLst>
            <a:ext uri="{FF2B5EF4-FFF2-40B4-BE49-F238E27FC236}">
              <a16:creationId xmlns:a16="http://schemas.microsoft.com/office/drawing/2014/main" id="{EAC77365-D4BD-403F-BE94-CD796CEA14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9239249" cy="4564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504824</xdr:colOff>
      <xdr:row>0</xdr:row>
      <xdr:rowOff>28575</xdr:rowOff>
    </xdr:from>
    <xdr:to>
      <xdr:col>13</xdr:col>
      <xdr:colOff>57149</xdr:colOff>
      <xdr:row>3</xdr:row>
      <xdr:rowOff>66675</xdr:rowOff>
    </xdr:to>
    <xdr:sp macro="" textlink="">
      <xdr:nvSpPr>
        <xdr:cNvPr id="4" name="吹き出し: 折線 3">
          <a:extLst>
            <a:ext uri="{FF2B5EF4-FFF2-40B4-BE49-F238E27FC236}">
              <a16:creationId xmlns:a16="http://schemas.microsoft.com/office/drawing/2014/main" id="{52D716AB-0FE1-4F01-8153-078F2A9A6C48}"/>
            </a:ext>
          </a:extLst>
        </xdr:cNvPr>
        <xdr:cNvSpPr/>
      </xdr:nvSpPr>
      <xdr:spPr>
        <a:xfrm>
          <a:off x="4619624" y="28575"/>
          <a:ext cx="4352925" cy="552450"/>
        </a:xfrm>
        <a:prstGeom prst="borderCallout2">
          <a:avLst>
            <a:gd name="adj1" fmla="val 17083"/>
            <a:gd name="adj2" fmla="val 201"/>
            <a:gd name="adj3" fmla="val 18750"/>
            <a:gd name="adj4" fmla="val -16667"/>
            <a:gd name="adj5" fmla="val 106667"/>
            <a:gd name="adj6" fmla="val -27411"/>
          </a:avLst>
        </a:prstGeom>
        <a:solidFill>
          <a:schemeClr val="bg1"/>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オレンジ色のセルへあなたの年末調整で出す所得・控除情報を入力していってください。</a:t>
          </a:r>
        </a:p>
      </xdr:txBody>
    </xdr:sp>
    <xdr:clientData/>
  </xdr:twoCellAnchor>
  <xdr:twoCellAnchor>
    <xdr:from>
      <xdr:col>0</xdr:col>
      <xdr:colOff>104774</xdr:colOff>
      <xdr:row>28</xdr:row>
      <xdr:rowOff>38100</xdr:rowOff>
    </xdr:from>
    <xdr:to>
      <xdr:col>6</xdr:col>
      <xdr:colOff>342899</xdr:colOff>
      <xdr:row>31</xdr:row>
      <xdr:rowOff>95250</xdr:rowOff>
    </xdr:to>
    <xdr:sp macro="" textlink="">
      <xdr:nvSpPr>
        <xdr:cNvPr id="5" name="吹き出し: 折線 4">
          <a:extLst>
            <a:ext uri="{FF2B5EF4-FFF2-40B4-BE49-F238E27FC236}">
              <a16:creationId xmlns:a16="http://schemas.microsoft.com/office/drawing/2014/main" id="{29952966-4353-4257-9804-AB0D78E5D46D}"/>
            </a:ext>
          </a:extLst>
        </xdr:cNvPr>
        <xdr:cNvSpPr/>
      </xdr:nvSpPr>
      <xdr:spPr>
        <a:xfrm>
          <a:off x="104774" y="4838700"/>
          <a:ext cx="4352925" cy="571500"/>
        </a:xfrm>
        <a:prstGeom prst="borderCallout2">
          <a:avLst>
            <a:gd name="adj1" fmla="val 416"/>
            <a:gd name="adj2" fmla="val 25365"/>
            <a:gd name="adj3" fmla="val -87916"/>
            <a:gd name="adj4" fmla="val 43726"/>
            <a:gd name="adj5" fmla="val -150833"/>
            <a:gd name="adj6" fmla="val 67337"/>
          </a:avLst>
        </a:prstGeom>
        <a:solidFill>
          <a:schemeClr val="bg1"/>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緑色のセルへ申告しなければならない所得や申告した方が良い控除がある場合に入力してください。</a:t>
          </a:r>
        </a:p>
      </xdr:txBody>
    </xdr:sp>
    <xdr:clientData/>
  </xdr:twoCellAnchor>
  <xdr:twoCellAnchor>
    <xdr:from>
      <xdr:col>6</xdr:col>
      <xdr:colOff>114300</xdr:colOff>
      <xdr:row>3</xdr:row>
      <xdr:rowOff>85725</xdr:rowOff>
    </xdr:from>
    <xdr:to>
      <xdr:col>13</xdr:col>
      <xdr:colOff>371475</xdr:colOff>
      <xdr:row>25</xdr:row>
      <xdr:rowOff>133350</xdr:rowOff>
    </xdr:to>
    <xdr:sp macro="" textlink="">
      <xdr:nvSpPr>
        <xdr:cNvPr id="6" name="正方形/長方形 5">
          <a:extLst>
            <a:ext uri="{FF2B5EF4-FFF2-40B4-BE49-F238E27FC236}">
              <a16:creationId xmlns:a16="http://schemas.microsoft.com/office/drawing/2014/main" id="{DF75F555-0FCD-4E4E-9E65-AEFCA9A803DD}"/>
            </a:ext>
          </a:extLst>
        </xdr:cNvPr>
        <xdr:cNvSpPr/>
      </xdr:nvSpPr>
      <xdr:spPr>
        <a:xfrm>
          <a:off x="4229100" y="600075"/>
          <a:ext cx="5057775" cy="38195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676275</xdr:colOff>
      <xdr:row>26</xdr:row>
      <xdr:rowOff>161925</xdr:rowOff>
    </xdr:from>
    <xdr:to>
      <xdr:col>15</xdr:col>
      <xdr:colOff>523875</xdr:colOff>
      <xdr:row>32</xdr:row>
      <xdr:rowOff>1</xdr:rowOff>
    </xdr:to>
    <xdr:sp macro="" textlink="">
      <xdr:nvSpPr>
        <xdr:cNvPr id="7" name="吹き出し: 折線 6">
          <a:extLst>
            <a:ext uri="{FF2B5EF4-FFF2-40B4-BE49-F238E27FC236}">
              <a16:creationId xmlns:a16="http://schemas.microsoft.com/office/drawing/2014/main" id="{B786A8A9-5CC4-4DF0-AEA5-B17F647B2649}"/>
            </a:ext>
          </a:extLst>
        </xdr:cNvPr>
        <xdr:cNvSpPr/>
      </xdr:nvSpPr>
      <xdr:spPr>
        <a:xfrm>
          <a:off x="5476875" y="4619625"/>
          <a:ext cx="5334000" cy="866776"/>
        </a:xfrm>
        <a:prstGeom prst="borderCallout2">
          <a:avLst>
            <a:gd name="adj1" fmla="val -1251"/>
            <a:gd name="adj2" fmla="val 94702"/>
            <a:gd name="adj3" fmla="val -152271"/>
            <a:gd name="adj4" fmla="val 87027"/>
            <a:gd name="adj5" fmla="val -218292"/>
            <a:gd name="adj6" fmla="val 7167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入力した情報を基にした試算結果がメッセージとグラフで表示されます。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端数処理や利用制度によって実際の申告値と異なるので、ふるさと納税をいくらくらいしようか考えるための参考程度の利用にしてください。</a:t>
          </a:r>
        </a:p>
      </xdr:txBody>
    </xdr:sp>
    <xdr:clientData/>
  </xdr:twoCellAnchor>
  <xdr:twoCellAnchor>
    <xdr:from>
      <xdr:col>0</xdr:col>
      <xdr:colOff>0</xdr:colOff>
      <xdr:row>40</xdr:row>
      <xdr:rowOff>85725</xdr:rowOff>
    </xdr:from>
    <xdr:to>
      <xdr:col>6</xdr:col>
      <xdr:colOff>156968</xdr:colOff>
      <xdr:row>73</xdr:row>
      <xdr:rowOff>152400</xdr:rowOff>
    </xdr:to>
    <xdr:grpSp>
      <xdr:nvGrpSpPr>
        <xdr:cNvPr id="8" name="グループ化 7">
          <a:extLst>
            <a:ext uri="{FF2B5EF4-FFF2-40B4-BE49-F238E27FC236}">
              <a16:creationId xmlns:a16="http://schemas.microsoft.com/office/drawing/2014/main" id="{F7C1D4FC-560F-4510-8283-6419390CEF2B}"/>
            </a:ext>
          </a:extLst>
        </xdr:cNvPr>
        <xdr:cNvGrpSpPr/>
      </xdr:nvGrpSpPr>
      <xdr:grpSpPr>
        <a:xfrm>
          <a:off x="0" y="6943725"/>
          <a:ext cx="4271768" cy="5724525"/>
          <a:chOff x="95250" y="4467225"/>
          <a:chExt cx="4271768" cy="5724525"/>
        </a:xfrm>
      </xdr:grpSpPr>
      <xdr:pic>
        <xdr:nvPicPr>
          <xdr:cNvPr id="9" name="図 8">
            <a:extLst>
              <a:ext uri="{FF2B5EF4-FFF2-40B4-BE49-F238E27FC236}">
                <a16:creationId xmlns:a16="http://schemas.microsoft.com/office/drawing/2014/main" id="{1D845D83-655F-43E1-AAA5-7101ED232C04}"/>
              </a:ext>
            </a:extLst>
          </xdr:cNvPr>
          <xdr:cNvPicPr>
            <a:picLocks noChangeAspect="1" noChangeArrowheads="1"/>
          </xdr:cNvPicPr>
        </xdr:nvPicPr>
        <xdr:blipFill>
          <a:blip xmlns:r="http://schemas.openxmlformats.org/officeDocument/2006/relationships" r:embed="rId2">
            <a:lum bright="-20000" contrast="40000"/>
            <a:extLst>
              <a:ext uri="{28A0092B-C50C-407E-A947-70E740481C1C}">
                <a14:useLocalDpi xmlns:a14="http://schemas.microsoft.com/office/drawing/2010/main" val="0"/>
              </a:ext>
            </a:extLst>
          </a:blip>
          <a:srcRect/>
          <a:stretch>
            <a:fillRect/>
          </a:stretch>
        </xdr:blipFill>
        <xdr:spPr bwMode="auto">
          <a:xfrm>
            <a:off x="161925" y="4467225"/>
            <a:ext cx="4205093" cy="572452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10" name="テキスト ボックス 9">
            <a:extLst>
              <a:ext uri="{FF2B5EF4-FFF2-40B4-BE49-F238E27FC236}">
                <a16:creationId xmlns:a16="http://schemas.microsoft.com/office/drawing/2014/main" id="{C995BB36-57BF-4DA0-9C07-71DF3E80AEFF}"/>
              </a:ext>
            </a:extLst>
          </xdr:cNvPr>
          <xdr:cNvSpPr txBox="1"/>
        </xdr:nvSpPr>
        <xdr:spPr>
          <a:xfrm>
            <a:off x="1257300" y="54197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（１）</a:t>
            </a:r>
          </a:p>
        </xdr:txBody>
      </xdr:sp>
      <xdr:sp macro="" textlink="">
        <xdr:nvSpPr>
          <xdr:cNvPr id="11" name="テキスト ボックス 10">
            <a:extLst>
              <a:ext uri="{FF2B5EF4-FFF2-40B4-BE49-F238E27FC236}">
                <a16:creationId xmlns:a16="http://schemas.microsoft.com/office/drawing/2014/main" id="{61B0470D-CB94-4185-A2C6-3B45134168F9}"/>
              </a:ext>
            </a:extLst>
          </xdr:cNvPr>
          <xdr:cNvSpPr txBox="1"/>
        </xdr:nvSpPr>
        <xdr:spPr>
          <a:xfrm>
            <a:off x="466725" y="630555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（７）</a:t>
            </a:r>
          </a:p>
        </xdr:txBody>
      </xdr:sp>
      <xdr:sp macro="" textlink="">
        <xdr:nvSpPr>
          <xdr:cNvPr id="12" name="テキスト ボックス 11">
            <a:extLst>
              <a:ext uri="{FF2B5EF4-FFF2-40B4-BE49-F238E27FC236}">
                <a16:creationId xmlns:a16="http://schemas.microsoft.com/office/drawing/2014/main" id="{087AF185-BA07-4A77-AA92-E23B64561D41}"/>
              </a:ext>
            </a:extLst>
          </xdr:cNvPr>
          <xdr:cNvSpPr txBox="1"/>
        </xdr:nvSpPr>
        <xdr:spPr>
          <a:xfrm>
            <a:off x="95250" y="693420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9</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13" name="テキスト ボックス 12">
            <a:extLst>
              <a:ext uri="{FF2B5EF4-FFF2-40B4-BE49-F238E27FC236}">
                <a16:creationId xmlns:a16="http://schemas.microsoft.com/office/drawing/2014/main" id="{BE055F77-3906-4948-A7C5-63C003B878BB}"/>
              </a:ext>
            </a:extLst>
          </xdr:cNvPr>
          <xdr:cNvSpPr txBox="1"/>
        </xdr:nvSpPr>
        <xdr:spPr>
          <a:xfrm>
            <a:off x="3667125" y="542925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（３）</a:t>
            </a:r>
          </a:p>
        </xdr:txBody>
      </xdr:sp>
      <xdr:sp macro="" textlink="">
        <xdr:nvSpPr>
          <xdr:cNvPr id="14" name="正方形/長方形 13">
            <a:extLst>
              <a:ext uri="{FF2B5EF4-FFF2-40B4-BE49-F238E27FC236}">
                <a16:creationId xmlns:a16="http://schemas.microsoft.com/office/drawing/2014/main" id="{C9B2B36A-98F9-43BD-A43A-A0F10BE1ED24}"/>
              </a:ext>
            </a:extLst>
          </xdr:cNvPr>
          <xdr:cNvSpPr/>
        </xdr:nvSpPr>
        <xdr:spPr>
          <a:xfrm>
            <a:off x="552449" y="6962776"/>
            <a:ext cx="3762375" cy="18097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15" name="テキスト ボックス 14">
            <a:extLst>
              <a:ext uri="{FF2B5EF4-FFF2-40B4-BE49-F238E27FC236}">
                <a16:creationId xmlns:a16="http://schemas.microsoft.com/office/drawing/2014/main" id="{0FF5BD97-0472-4AE9-BBC2-07C58C78199B}"/>
              </a:ext>
            </a:extLst>
          </xdr:cNvPr>
          <xdr:cNvSpPr txBox="1"/>
        </xdr:nvSpPr>
        <xdr:spPr>
          <a:xfrm>
            <a:off x="1104900" y="752475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4</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16" name="テキスト ボックス 15">
            <a:extLst>
              <a:ext uri="{FF2B5EF4-FFF2-40B4-BE49-F238E27FC236}">
                <a16:creationId xmlns:a16="http://schemas.microsoft.com/office/drawing/2014/main" id="{CBAA5395-DF13-4CA6-80E0-E9F7030E2B66}"/>
              </a:ext>
            </a:extLst>
          </xdr:cNvPr>
          <xdr:cNvSpPr txBox="1"/>
        </xdr:nvSpPr>
        <xdr:spPr>
          <a:xfrm>
            <a:off x="2562225" y="6276975"/>
            <a:ext cx="638175" cy="209550"/>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10</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17" name="テキスト ボックス 16">
            <a:extLst>
              <a:ext uri="{FF2B5EF4-FFF2-40B4-BE49-F238E27FC236}">
                <a16:creationId xmlns:a16="http://schemas.microsoft.com/office/drawing/2014/main" id="{409E8C1E-B3DB-4998-AE10-B8EA2B681148}"/>
              </a:ext>
            </a:extLst>
          </xdr:cNvPr>
          <xdr:cNvSpPr txBox="1"/>
        </xdr:nvSpPr>
        <xdr:spPr>
          <a:xfrm>
            <a:off x="3467100" y="6267451"/>
            <a:ext cx="685799" cy="171450"/>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15</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18" name="正方形/長方形 17">
            <a:extLst>
              <a:ext uri="{FF2B5EF4-FFF2-40B4-BE49-F238E27FC236}">
                <a16:creationId xmlns:a16="http://schemas.microsoft.com/office/drawing/2014/main" id="{C41187D8-05C2-4B74-8F51-3E030D4FC546}"/>
              </a:ext>
            </a:extLst>
          </xdr:cNvPr>
          <xdr:cNvSpPr/>
        </xdr:nvSpPr>
        <xdr:spPr>
          <a:xfrm>
            <a:off x="247650" y="7467600"/>
            <a:ext cx="2581276" cy="32384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19" name="正方形/長方形 18">
            <a:extLst>
              <a:ext uri="{FF2B5EF4-FFF2-40B4-BE49-F238E27FC236}">
                <a16:creationId xmlns:a16="http://schemas.microsoft.com/office/drawing/2014/main" id="{9B05ACE8-B4AE-4B1A-9F2C-E2B0DDE71642}"/>
              </a:ext>
            </a:extLst>
          </xdr:cNvPr>
          <xdr:cNvSpPr/>
        </xdr:nvSpPr>
        <xdr:spPr>
          <a:xfrm>
            <a:off x="257174" y="7810500"/>
            <a:ext cx="3533775" cy="1257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9">
            <a:extLst>
              <a:ext uri="{FF2B5EF4-FFF2-40B4-BE49-F238E27FC236}">
                <a16:creationId xmlns:a16="http://schemas.microsoft.com/office/drawing/2014/main" id="{C4B03938-49F6-4519-8F9E-C329ED1C0F6F}"/>
              </a:ext>
            </a:extLst>
          </xdr:cNvPr>
          <xdr:cNvSpPr txBox="1"/>
        </xdr:nvSpPr>
        <xdr:spPr>
          <a:xfrm>
            <a:off x="1790700" y="83153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5</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21" name="正方形/長方形 20">
            <a:extLst>
              <a:ext uri="{FF2B5EF4-FFF2-40B4-BE49-F238E27FC236}">
                <a16:creationId xmlns:a16="http://schemas.microsoft.com/office/drawing/2014/main" id="{EAC1482C-2AD9-4380-A25B-A039E6E43C35}"/>
              </a:ext>
            </a:extLst>
          </xdr:cNvPr>
          <xdr:cNvSpPr/>
        </xdr:nvSpPr>
        <xdr:spPr>
          <a:xfrm>
            <a:off x="1209675" y="9096375"/>
            <a:ext cx="9144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2" name="テキスト ボックス 21">
            <a:extLst>
              <a:ext uri="{FF2B5EF4-FFF2-40B4-BE49-F238E27FC236}">
                <a16:creationId xmlns:a16="http://schemas.microsoft.com/office/drawing/2014/main" id="{4B04EC6D-2C70-4BEE-BBD7-D9CFBA210765}"/>
              </a:ext>
            </a:extLst>
          </xdr:cNvPr>
          <xdr:cNvSpPr txBox="1"/>
        </xdr:nvSpPr>
        <xdr:spPr>
          <a:xfrm>
            <a:off x="1209675" y="9248775"/>
            <a:ext cx="876300" cy="166712"/>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9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11</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(14)</a:t>
            </a:r>
            <a:endParaRPr kumimoji="1" lang="ja-JP" altLang="en-US" sz="900" b="1">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6</xdr:col>
      <xdr:colOff>295275</xdr:colOff>
      <xdr:row>40</xdr:row>
      <xdr:rowOff>85725</xdr:rowOff>
    </xdr:from>
    <xdr:to>
      <xdr:col>15</xdr:col>
      <xdr:colOff>19050</xdr:colOff>
      <xdr:row>63</xdr:row>
      <xdr:rowOff>38100</xdr:rowOff>
    </xdr:to>
    <xdr:grpSp>
      <xdr:nvGrpSpPr>
        <xdr:cNvPr id="23" name="グループ化 22">
          <a:extLst>
            <a:ext uri="{FF2B5EF4-FFF2-40B4-BE49-F238E27FC236}">
              <a16:creationId xmlns:a16="http://schemas.microsoft.com/office/drawing/2014/main" id="{D76DB746-D20A-4C3E-94B0-1CC95A800BCD}"/>
            </a:ext>
          </a:extLst>
        </xdr:cNvPr>
        <xdr:cNvGrpSpPr/>
      </xdr:nvGrpSpPr>
      <xdr:grpSpPr>
        <a:xfrm>
          <a:off x="4410075" y="6943725"/>
          <a:ext cx="5895975" cy="3895725"/>
          <a:chOff x="4648200" y="4467225"/>
          <a:chExt cx="5895975" cy="3895725"/>
        </a:xfrm>
      </xdr:grpSpPr>
      <xdr:pic>
        <xdr:nvPicPr>
          <xdr:cNvPr id="24" name="図 23">
            <a:extLst>
              <a:ext uri="{FF2B5EF4-FFF2-40B4-BE49-F238E27FC236}">
                <a16:creationId xmlns:a16="http://schemas.microsoft.com/office/drawing/2014/main" id="{AC0087FB-1FED-4E39-9B33-AB0EA2CFEC79}"/>
              </a:ext>
            </a:extLst>
          </xdr:cNvPr>
          <xdr:cNvPicPr>
            <a:picLocks noChangeAspect="1" noChangeArrowheads="1"/>
          </xdr:cNvPicPr>
        </xdr:nvPicPr>
        <xdr:blipFill>
          <a:blip xmlns:r="http://schemas.openxmlformats.org/officeDocument/2006/relationships" r:embed="rId3">
            <a:lum bright="-20000" contrast="40000"/>
            <a:extLst>
              <a:ext uri="{28A0092B-C50C-407E-A947-70E740481C1C}">
                <a14:useLocalDpi xmlns:a14="http://schemas.microsoft.com/office/drawing/2010/main" val="0"/>
              </a:ext>
            </a:extLst>
          </a:blip>
          <a:srcRect/>
          <a:stretch>
            <a:fillRect/>
          </a:stretch>
        </xdr:blipFill>
        <xdr:spPr bwMode="auto">
          <a:xfrm>
            <a:off x="4648200" y="4467225"/>
            <a:ext cx="5895975" cy="389572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25" name="テキスト ボックス 24">
            <a:extLst>
              <a:ext uri="{FF2B5EF4-FFF2-40B4-BE49-F238E27FC236}">
                <a16:creationId xmlns:a16="http://schemas.microsoft.com/office/drawing/2014/main" id="{878E2B9F-3B53-49C5-8D36-128EE52B7363}"/>
              </a:ext>
            </a:extLst>
          </xdr:cNvPr>
          <xdr:cNvSpPr txBox="1"/>
        </xdr:nvSpPr>
        <xdr:spPr>
          <a:xfrm>
            <a:off x="6981825" y="571500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（２）</a:t>
            </a:r>
          </a:p>
        </xdr:txBody>
      </xdr:sp>
      <xdr:sp macro="" textlink="">
        <xdr:nvSpPr>
          <xdr:cNvPr id="26" name="テキスト ボックス 25">
            <a:extLst>
              <a:ext uri="{FF2B5EF4-FFF2-40B4-BE49-F238E27FC236}">
                <a16:creationId xmlns:a16="http://schemas.microsoft.com/office/drawing/2014/main" id="{E4CDA850-009C-4848-A085-DCEDEF2C2722}"/>
              </a:ext>
            </a:extLst>
          </xdr:cNvPr>
          <xdr:cNvSpPr txBox="1"/>
        </xdr:nvSpPr>
        <xdr:spPr>
          <a:xfrm>
            <a:off x="9182100" y="57245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（３）</a:t>
            </a:r>
          </a:p>
        </xdr:txBody>
      </xdr:sp>
      <xdr:sp macro="" textlink="">
        <xdr:nvSpPr>
          <xdr:cNvPr id="27" name="正方形/長方形 26">
            <a:extLst>
              <a:ext uri="{FF2B5EF4-FFF2-40B4-BE49-F238E27FC236}">
                <a16:creationId xmlns:a16="http://schemas.microsoft.com/office/drawing/2014/main" id="{A9F65A4C-A440-42DF-ABE4-44A1C400494A}"/>
              </a:ext>
            </a:extLst>
          </xdr:cNvPr>
          <xdr:cNvSpPr/>
        </xdr:nvSpPr>
        <xdr:spPr>
          <a:xfrm>
            <a:off x="6286500" y="5448300"/>
            <a:ext cx="2076450" cy="7143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8" name="正方形/長方形 27">
            <a:extLst>
              <a:ext uri="{FF2B5EF4-FFF2-40B4-BE49-F238E27FC236}">
                <a16:creationId xmlns:a16="http://schemas.microsoft.com/office/drawing/2014/main" id="{A3CF4C6E-FC9A-491A-8FD0-3A92D62BD03C}"/>
              </a:ext>
            </a:extLst>
          </xdr:cNvPr>
          <xdr:cNvSpPr/>
        </xdr:nvSpPr>
        <xdr:spPr>
          <a:xfrm>
            <a:off x="8401050" y="5457825"/>
            <a:ext cx="2019300" cy="7143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9" name="テキスト ボックス 28">
            <a:extLst>
              <a:ext uri="{FF2B5EF4-FFF2-40B4-BE49-F238E27FC236}">
                <a16:creationId xmlns:a16="http://schemas.microsoft.com/office/drawing/2014/main" id="{A38A30A4-045D-465C-9AA2-FDAEBE0B68E3}"/>
              </a:ext>
            </a:extLst>
          </xdr:cNvPr>
          <xdr:cNvSpPr txBox="1"/>
        </xdr:nvSpPr>
        <xdr:spPr>
          <a:xfrm>
            <a:off x="9820275" y="649605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（７）</a:t>
            </a:r>
          </a:p>
        </xdr:txBody>
      </xdr:sp>
      <xdr:sp macro="" textlink="">
        <xdr:nvSpPr>
          <xdr:cNvPr id="30" name="テキスト ボックス 29">
            <a:extLst>
              <a:ext uri="{FF2B5EF4-FFF2-40B4-BE49-F238E27FC236}">
                <a16:creationId xmlns:a16="http://schemas.microsoft.com/office/drawing/2014/main" id="{24EEF818-180A-4038-87DD-D61B9DD5CF9F}"/>
              </a:ext>
            </a:extLst>
          </xdr:cNvPr>
          <xdr:cNvSpPr txBox="1"/>
        </xdr:nvSpPr>
        <xdr:spPr>
          <a:xfrm>
            <a:off x="5534025" y="68675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（４）</a:t>
            </a:r>
          </a:p>
        </xdr:txBody>
      </xdr:sp>
      <xdr:sp macro="" textlink="">
        <xdr:nvSpPr>
          <xdr:cNvPr id="31" name="テキスト ボックス 30">
            <a:extLst>
              <a:ext uri="{FF2B5EF4-FFF2-40B4-BE49-F238E27FC236}">
                <a16:creationId xmlns:a16="http://schemas.microsoft.com/office/drawing/2014/main" id="{271CE8E9-DC58-466A-BF12-10E0BA93A15A}"/>
              </a:ext>
            </a:extLst>
          </xdr:cNvPr>
          <xdr:cNvSpPr txBox="1"/>
        </xdr:nvSpPr>
        <xdr:spPr>
          <a:xfrm>
            <a:off x="8429625" y="70961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5</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32" name="正方形/長方形 31">
            <a:extLst>
              <a:ext uri="{FF2B5EF4-FFF2-40B4-BE49-F238E27FC236}">
                <a16:creationId xmlns:a16="http://schemas.microsoft.com/office/drawing/2014/main" id="{C89775EC-62F7-41AE-B392-F2F1C088777C}"/>
              </a:ext>
            </a:extLst>
          </xdr:cNvPr>
          <xdr:cNvSpPr/>
        </xdr:nvSpPr>
        <xdr:spPr>
          <a:xfrm>
            <a:off x="6962775" y="6705600"/>
            <a:ext cx="3467100" cy="10001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33" name="正方形/長方形 32">
            <a:extLst>
              <a:ext uri="{FF2B5EF4-FFF2-40B4-BE49-F238E27FC236}">
                <a16:creationId xmlns:a16="http://schemas.microsoft.com/office/drawing/2014/main" id="{46D0B8CE-F631-4FE9-BFD1-1BA6C07C0CDB}"/>
              </a:ext>
            </a:extLst>
          </xdr:cNvPr>
          <xdr:cNvSpPr/>
        </xdr:nvSpPr>
        <xdr:spPr>
          <a:xfrm>
            <a:off x="4791075" y="6191250"/>
            <a:ext cx="150495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34" name="テキスト ボックス 33">
            <a:extLst>
              <a:ext uri="{FF2B5EF4-FFF2-40B4-BE49-F238E27FC236}">
                <a16:creationId xmlns:a16="http://schemas.microsoft.com/office/drawing/2014/main" id="{BAD31B3A-9EC7-46BC-B701-771374B4F11D}"/>
              </a:ext>
            </a:extLst>
          </xdr:cNvPr>
          <xdr:cNvSpPr txBox="1"/>
        </xdr:nvSpPr>
        <xdr:spPr>
          <a:xfrm>
            <a:off x="4953000" y="6467475"/>
            <a:ext cx="1066800"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11</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(12)</a:t>
            </a:r>
            <a:endParaRPr kumimoji="1" lang="ja-JP" altLang="en-US" sz="1100" b="1">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oneCellAnchor>
    <xdr:from>
      <xdr:col>6</xdr:col>
      <xdr:colOff>352425</xdr:colOff>
      <xdr:row>63</xdr:row>
      <xdr:rowOff>123825</xdr:rowOff>
    </xdr:from>
    <xdr:ext cx="5791200" cy="845598"/>
    <xdr:sp macro="" textlink="">
      <xdr:nvSpPr>
        <xdr:cNvPr id="35" name="テキスト ボックス 34">
          <a:extLst>
            <a:ext uri="{FF2B5EF4-FFF2-40B4-BE49-F238E27FC236}">
              <a16:creationId xmlns:a16="http://schemas.microsoft.com/office/drawing/2014/main" id="{4000219F-5C67-420A-BD32-B341C54FEB76}"/>
            </a:ext>
          </a:extLst>
        </xdr:cNvPr>
        <xdr:cNvSpPr txBox="1"/>
      </xdr:nvSpPr>
      <xdr:spPr>
        <a:xfrm>
          <a:off x="4467225" y="10925175"/>
          <a:ext cx="5791200" cy="8455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ja-JP" altLang="en-US" sz="1400">
              <a:solidFill>
                <a:schemeClr val="tx1"/>
              </a:solidFill>
              <a:latin typeface="HG丸ｺﾞｼｯｸM-PRO" panose="020F0600000000000000" pitchFamily="50" charset="-128"/>
              <a:ea typeface="HG丸ｺﾞｼｯｸM-PRO" panose="020F0600000000000000" pitchFamily="50" charset="-128"/>
            </a:rPr>
            <a:t>会社や年金保険者から交付された源泉徴収票の内容について、「あなたの所得控除情報」のシートの（　）で対応した収入や控除へ入力していってください。</a:t>
          </a:r>
        </a:p>
      </xdr:txBody>
    </xdr:sp>
    <xdr:clientData/>
  </xdr:oneCellAnchor>
  <xdr:twoCellAnchor>
    <xdr:from>
      <xdr:col>0</xdr:col>
      <xdr:colOff>66674</xdr:colOff>
      <xdr:row>32</xdr:row>
      <xdr:rowOff>142875</xdr:rowOff>
    </xdr:from>
    <xdr:to>
      <xdr:col>15</xdr:col>
      <xdr:colOff>609599</xdr:colOff>
      <xdr:row>38</xdr:row>
      <xdr:rowOff>133350</xdr:rowOff>
    </xdr:to>
    <xdr:sp macro="" textlink="">
      <xdr:nvSpPr>
        <xdr:cNvPr id="36" name="テキスト ボックス 35">
          <a:extLst>
            <a:ext uri="{FF2B5EF4-FFF2-40B4-BE49-F238E27FC236}">
              <a16:creationId xmlns:a16="http://schemas.microsoft.com/office/drawing/2014/main" id="{8327B471-EAA0-42EE-B659-2F177BB4520C}"/>
            </a:ext>
          </a:extLst>
        </xdr:cNvPr>
        <xdr:cNvSpPr txBox="1"/>
      </xdr:nvSpPr>
      <xdr:spPr>
        <a:xfrm>
          <a:off x="66674" y="5629275"/>
          <a:ext cx="10829925" cy="1019175"/>
        </a:xfrm>
        <a:prstGeom prst="rect">
          <a:avLst/>
        </a:prstGeom>
        <a:solidFill>
          <a:schemeClr val="lt1"/>
        </a:solidFill>
        <a:ln w="38100" cmpd="sng">
          <a:solidFill>
            <a:srgbClr val="FF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HG丸ｺﾞｼｯｸM-PRO" panose="020F0600000000000000" pitchFamily="50" charset="-128"/>
              <a:ea typeface="HG丸ｺﾞｼｯｸM-PRO" panose="020F0600000000000000" pitchFamily="50" charset="-128"/>
            </a:rPr>
            <a:t>試算結果にかかわらず、申告時にふるさと納税の寄附金を申告し忘れたり、確定申告書第二表の住民税・事業税に関する事項の記載忘れや記載誤りがあったりすると寄附金特例控除を受けられなくなるケースがありますので注意してください。</a:t>
          </a:r>
        </a:p>
      </xdr:txBody>
    </xdr:sp>
    <xdr:clientData/>
  </xdr:twoCellAnchor>
  <xdr:twoCellAnchor>
    <xdr:from>
      <xdr:col>0</xdr:col>
      <xdr:colOff>152401</xdr:colOff>
      <xdr:row>13</xdr:row>
      <xdr:rowOff>123825</xdr:rowOff>
    </xdr:from>
    <xdr:to>
      <xdr:col>5</xdr:col>
      <xdr:colOff>495301</xdr:colOff>
      <xdr:row>18</xdr:row>
      <xdr:rowOff>47625</xdr:rowOff>
    </xdr:to>
    <xdr:sp macro="" textlink="">
      <xdr:nvSpPr>
        <xdr:cNvPr id="37" name="吹き出し: 折線 36">
          <a:extLst>
            <a:ext uri="{FF2B5EF4-FFF2-40B4-BE49-F238E27FC236}">
              <a16:creationId xmlns:a16="http://schemas.microsoft.com/office/drawing/2014/main" id="{0F719AA3-C0D6-4EEA-8F47-2B5AEC6E94E5}"/>
            </a:ext>
          </a:extLst>
        </xdr:cNvPr>
        <xdr:cNvSpPr/>
      </xdr:nvSpPr>
      <xdr:spPr>
        <a:xfrm>
          <a:off x="152401" y="2352675"/>
          <a:ext cx="3771900" cy="781050"/>
        </a:xfrm>
        <a:prstGeom prst="borderCallout2">
          <a:avLst>
            <a:gd name="adj1" fmla="val 416"/>
            <a:gd name="adj2" fmla="val 43308"/>
            <a:gd name="adj3" fmla="val -67303"/>
            <a:gd name="adj4" fmla="val 59910"/>
            <a:gd name="adj5" fmla="val -67218"/>
            <a:gd name="adj6" fmla="val 75897"/>
          </a:avLst>
        </a:prstGeom>
        <a:solidFill>
          <a:schemeClr val="bg1"/>
        </a:solid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ふるさと納税額の欄には自分の寄附したい金額を入力してください。試算結果のメッセージにその計算結果が表示されます。</a:t>
          </a:r>
        </a:p>
      </xdr:txBody>
    </xdr:sp>
    <xdr:clientData/>
  </xdr:twoCellAnchor>
  <xdr:twoCellAnchor editAs="oneCell">
    <xdr:from>
      <xdr:col>0</xdr:col>
      <xdr:colOff>104775</xdr:colOff>
      <xdr:row>75</xdr:row>
      <xdr:rowOff>114300</xdr:rowOff>
    </xdr:from>
    <xdr:to>
      <xdr:col>10</xdr:col>
      <xdr:colOff>447675</xdr:colOff>
      <xdr:row>106</xdr:row>
      <xdr:rowOff>142875</xdr:rowOff>
    </xdr:to>
    <xdr:pic>
      <xdr:nvPicPr>
        <xdr:cNvPr id="38" name="図 37">
          <a:extLst>
            <a:ext uri="{FF2B5EF4-FFF2-40B4-BE49-F238E27FC236}">
              <a16:creationId xmlns:a16="http://schemas.microsoft.com/office/drawing/2014/main" id="{BDF9694B-8F7F-4FD7-A64F-92501D85D29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4775" y="12973050"/>
          <a:ext cx="7200900"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57149</xdr:colOff>
      <xdr:row>85</xdr:row>
      <xdr:rowOff>123825</xdr:rowOff>
    </xdr:from>
    <xdr:to>
      <xdr:col>15</xdr:col>
      <xdr:colOff>295274</xdr:colOff>
      <xdr:row>92</xdr:row>
      <xdr:rowOff>53975</xdr:rowOff>
    </xdr:to>
    <xdr:sp macro="" textlink="">
      <xdr:nvSpPr>
        <xdr:cNvPr id="39" name="吹き出し: 折線 38">
          <a:extLst>
            <a:ext uri="{FF2B5EF4-FFF2-40B4-BE49-F238E27FC236}">
              <a16:creationId xmlns:a16="http://schemas.microsoft.com/office/drawing/2014/main" id="{02C19C13-EF34-405C-90D5-29F28761BC1E}"/>
            </a:ext>
          </a:extLst>
        </xdr:cNvPr>
        <xdr:cNvSpPr/>
      </xdr:nvSpPr>
      <xdr:spPr>
        <a:xfrm>
          <a:off x="6229349" y="14697075"/>
          <a:ext cx="4352925" cy="1130300"/>
        </a:xfrm>
        <a:prstGeom prst="borderCallout2">
          <a:avLst>
            <a:gd name="adj1" fmla="val 434"/>
            <a:gd name="adj2" fmla="val 49188"/>
            <a:gd name="adj3" fmla="val -37853"/>
            <a:gd name="adj4" fmla="val 39755"/>
            <a:gd name="adj5" fmla="val -49540"/>
            <a:gd name="adj6" fmla="val 22819"/>
          </a:avLst>
        </a:prstGeom>
        <a:solidFill>
          <a:schemeClr val="bg1"/>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「申告計算」など見出しが青くなっているシートの青いセルの値をお住いの自治体の税率などに修正すると、お住いの自治体の場合の税額等の概算を試算できます。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7</xdr:row>
      <xdr:rowOff>114300</xdr:rowOff>
    </xdr:from>
    <xdr:to>
      <xdr:col>10</xdr:col>
      <xdr:colOff>161925</xdr:colOff>
      <xdr:row>9</xdr:row>
      <xdr:rowOff>133350</xdr:rowOff>
    </xdr:to>
    <xdr:sp macro="" textlink="">
      <xdr:nvSpPr>
        <xdr:cNvPr id="2" name="テキスト ボックス 1">
          <a:extLst>
            <a:ext uri="{FF2B5EF4-FFF2-40B4-BE49-F238E27FC236}">
              <a16:creationId xmlns:a16="http://schemas.microsoft.com/office/drawing/2014/main" id="{B11C62ED-05CB-4C5C-81FD-E08A75F559C8}"/>
            </a:ext>
          </a:extLst>
        </xdr:cNvPr>
        <xdr:cNvSpPr txBox="1"/>
      </xdr:nvSpPr>
      <xdr:spPr>
        <a:xfrm>
          <a:off x="2095500" y="1314450"/>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742950</xdr:colOff>
      <xdr:row>19</xdr:row>
      <xdr:rowOff>123825</xdr:rowOff>
    </xdr:from>
    <xdr:to>
      <xdr:col>12</xdr:col>
      <xdr:colOff>1038225</xdr:colOff>
      <xdr:row>21</xdr:row>
      <xdr:rowOff>142875</xdr:rowOff>
    </xdr:to>
    <xdr:sp macro="" textlink="">
      <xdr:nvSpPr>
        <xdr:cNvPr id="2" name="テキスト ボックス 1">
          <a:extLst>
            <a:ext uri="{FF2B5EF4-FFF2-40B4-BE49-F238E27FC236}">
              <a16:creationId xmlns:a16="http://schemas.microsoft.com/office/drawing/2014/main" id="{9E4D8D90-1352-475A-BEAA-852E1578511E}"/>
            </a:ext>
          </a:extLst>
        </xdr:cNvPr>
        <xdr:cNvSpPr txBox="1"/>
      </xdr:nvSpPr>
      <xdr:spPr>
        <a:xfrm>
          <a:off x="3238500" y="3381375"/>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95250</xdr:colOff>
      <xdr:row>0</xdr:row>
      <xdr:rowOff>142875</xdr:rowOff>
    </xdr:from>
    <xdr:to>
      <xdr:col>16</xdr:col>
      <xdr:colOff>638175</xdr:colOff>
      <xdr:row>2</xdr:row>
      <xdr:rowOff>161925</xdr:rowOff>
    </xdr:to>
    <xdr:sp macro="" textlink="">
      <xdr:nvSpPr>
        <xdr:cNvPr id="2" name="テキスト ボックス 1">
          <a:extLst>
            <a:ext uri="{FF2B5EF4-FFF2-40B4-BE49-F238E27FC236}">
              <a16:creationId xmlns:a16="http://schemas.microsoft.com/office/drawing/2014/main" id="{3B02C4F5-EC2F-4FC4-B973-B4ABE4E0AEEA}"/>
            </a:ext>
          </a:extLst>
        </xdr:cNvPr>
        <xdr:cNvSpPr txBox="1"/>
      </xdr:nvSpPr>
      <xdr:spPr>
        <a:xfrm>
          <a:off x="7048500" y="142875"/>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28575</xdr:colOff>
      <xdr:row>10</xdr:row>
      <xdr:rowOff>142875</xdr:rowOff>
    </xdr:from>
    <xdr:to>
      <xdr:col>10</xdr:col>
      <xdr:colOff>304800</xdr:colOff>
      <xdr:row>12</xdr:row>
      <xdr:rowOff>161925</xdr:rowOff>
    </xdr:to>
    <xdr:sp macro="" textlink="">
      <xdr:nvSpPr>
        <xdr:cNvPr id="2" name="テキスト ボックス 1">
          <a:extLst>
            <a:ext uri="{FF2B5EF4-FFF2-40B4-BE49-F238E27FC236}">
              <a16:creationId xmlns:a16="http://schemas.microsoft.com/office/drawing/2014/main" id="{F5D726E8-DC99-4EDE-83DD-1E37C78C68DA}"/>
            </a:ext>
          </a:extLst>
        </xdr:cNvPr>
        <xdr:cNvSpPr txBox="1"/>
      </xdr:nvSpPr>
      <xdr:spPr>
        <a:xfrm>
          <a:off x="2314575" y="1857375"/>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10</xdr:row>
      <xdr:rowOff>142875</xdr:rowOff>
    </xdr:from>
    <xdr:to>
      <xdr:col>10</xdr:col>
      <xdr:colOff>161925</xdr:colOff>
      <xdr:row>12</xdr:row>
      <xdr:rowOff>161925</xdr:rowOff>
    </xdr:to>
    <xdr:sp macro="" textlink="">
      <xdr:nvSpPr>
        <xdr:cNvPr id="2" name="テキスト ボックス 1">
          <a:extLst>
            <a:ext uri="{FF2B5EF4-FFF2-40B4-BE49-F238E27FC236}">
              <a16:creationId xmlns:a16="http://schemas.microsoft.com/office/drawing/2014/main" id="{47BCF352-BCBE-4EF7-AFA3-DDFACF5B3E43}"/>
            </a:ext>
          </a:extLst>
        </xdr:cNvPr>
        <xdr:cNvSpPr txBox="1"/>
      </xdr:nvSpPr>
      <xdr:spPr>
        <a:xfrm>
          <a:off x="0" y="1857375"/>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9525</xdr:colOff>
      <xdr:row>0</xdr:row>
      <xdr:rowOff>28575</xdr:rowOff>
    </xdr:from>
    <xdr:to>
      <xdr:col>14</xdr:col>
      <xdr:colOff>552450</xdr:colOff>
      <xdr:row>2</xdr:row>
      <xdr:rowOff>47625</xdr:rowOff>
    </xdr:to>
    <xdr:sp macro="" textlink="">
      <xdr:nvSpPr>
        <xdr:cNvPr id="2" name="テキスト ボックス 1">
          <a:extLst>
            <a:ext uri="{FF2B5EF4-FFF2-40B4-BE49-F238E27FC236}">
              <a16:creationId xmlns:a16="http://schemas.microsoft.com/office/drawing/2014/main" id="{24813140-CFAE-47DA-A811-04DDD3B1315F}"/>
            </a:ext>
          </a:extLst>
        </xdr:cNvPr>
        <xdr:cNvSpPr txBox="1"/>
      </xdr:nvSpPr>
      <xdr:spPr>
        <a:xfrm>
          <a:off x="3933825" y="28575"/>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171450</xdr:colOff>
      <xdr:row>0</xdr:row>
      <xdr:rowOff>38100</xdr:rowOff>
    </xdr:from>
    <xdr:to>
      <xdr:col>13</xdr:col>
      <xdr:colOff>28575</xdr:colOff>
      <xdr:row>2</xdr:row>
      <xdr:rowOff>57150</xdr:rowOff>
    </xdr:to>
    <xdr:sp macro="" textlink="">
      <xdr:nvSpPr>
        <xdr:cNvPr id="2" name="テキスト ボックス 1">
          <a:extLst>
            <a:ext uri="{FF2B5EF4-FFF2-40B4-BE49-F238E27FC236}">
              <a16:creationId xmlns:a16="http://schemas.microsoft.com/office/drawing/2014/main" id="{D73F6A0D-F8E7-422B-864D-3A8EF406F4EA}"/>
            </a:ext>
          </a:extLst>
        </xdr:cNvPr>
        <xdr:cNvSpPr txBox="1"/>
      </xdr:nvSpPr>
      <xdr:spPr>
        <a:xfrm>
          <a:off x="4286250" y="38100"/>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133350</xdr:colOff>
      <xdr:row>0</xdr:row>
      <xdr:rowOff>104775</xdr:rowOff>
    </xdr:from>
    <xdr:to>
      <xdr:col>11</xdr:col>
      <xdr:colOff>676275</xdr:colOff>
      <xdr:row>2</xdr:row>
      <xdr:rowOff>123825</xdr:rowOff>
    </xdr:to>
    <xdr:sp macro="" textlink="">
      <xdr:nvSpPr>
        <xdr:cNvPr id="2" name="テキスト ボックス 1">
          <a:extLst>
            <a:ext uri="{FF2B5EF4-FFF2-40B4-BE49-F238E27FC236}">
              <a16:creationId xmlns:a16="http://schemas.microsoft.com/office/drawing/2014/main" id="{7CCB76CB-217C-425E-AE8C-F3EDEAE7BF9B}"/>
            </a:ext>
          </a:extLst>
        </xdr:cNvPr>
        <xdr:cNvSpPr txBox="1"/>
      </xdr:nvSpPr>
      <xdr:spPr>
        <a:xfrm>
          <a:off x="3009900" y="104775"/>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104775</xdr:colOff>
      <xdr:row>6</xdr:row>
      <xdr:rowOff>9525</xdr:rowOff>
    </xdr:from>
    <xdr:to>
      <xdr:col>9</xdr:col>
      <xdr:colOff>371475</xdr:colOff>
      <xdr:row>8</xdr:row>
      <xdr:rowOff>28575</xdr:rowOff>
    </xdr:to>
    <xdr:sp macro="" textlink="">
      <xdr:nvSpPr>
        <xdr:cNvPr id="2" name="テキスト ボックス 1">
          <a:extLst>
            <a:ext uri="{FF2B5EF4-FFF2-40B4-BE49-F238E27FC236}">
              <a16:creationId xmlns:a16="http://schemas.microsoft.com/office/drawing/2014/main" id="{DA39D153-920D-46E7-95F1-B178DEC0413B}"/>
            </a:ext>
          </a:extLst>
        </xdr:cNvPr>
        <xdr:cNvSpPr txBox="1"/>
      </xdr:nvSpPr>
      <xdr:spPr>
        <a:xfrm>
          <a:off x="2200275" y="1038225"/>
          <a:ext cx="63722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青色のセルを住む自治体の条件に合わせて修正して試算することも可能です。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xdr:rowOff>
    </xdr:from>
    <xdr:ext cx="13134974" cy="714375"/>
    <xdr:sp macro="" textlink="">
      <xdr:nvSpPr>
        <xdr:cNvPr id="3" name="テキスト ボックス 2">
          <a:extLst>
            <a:ext uri="{FF2B5EF4-FFF2-40B4-BE49-F238E27FC236}">
              <a16:creationId xmlns:a16="http://schemas.microsoft.com/office/drawing/2014/main" id="{62E13F60-2A8A-4C65-9B0B-7EEC36A74873}"/>
            </a:ext>
          </a:extLst>
        </xdr:cNvPr>
        <xdr:cNvSpPr txBox="1"/>
      </xdr:nvSpPr>
      <xdr:spPr>
        <a:xfrm>
          <a:off x="0" y="19050"/>
          <a:ext cx="13134974"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200">
              <a:latin typeface="HG丸ｺﾞｼｯｸM-PRO" panose="020F0600000000000000" pitchFamily="50" charset="-128"/>
              <a:ea typeface="HG丸ｺﾞｼｯｸM-PRO" panose="020F0600000000000000" pitchFamily="50" charset="-128"/>
            </a:rPr>
            <a:t>本シミュレーターはワンストップ特例申請の対象となりうる簡単な所得状況の方を主に想定した試算用であり、計算結果に多少の差異が生じます。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また、本年ではなく前年の所得でしか試算できないため、来年の課税額とは異なります。細かい計算過程は申告計算等見出しが青色のシートを参照してください。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使用について、ふるさと納税を行う際の寄附金額の参考程度に留めてください。</a:t>
          </a:r>
        </a:p>
      </xdr:txBody>
    </xdr:sp>
    <xdr:clientData/>
  </xdr:oneCellAnchor>
  <xdr:oneCellAnchor>
    <xdr:from>
      <xdr:col>6</xdr:col>
      <xdr:colOff>47624</xdr:colOff>
      <xdr:row>25</xdr:row>
      <xdr:rowOff>104775</xdr:rowOff>
    </xdr:from>
    <xdr:ext cx="5076825" cy="2312666"/>
    <xdr:sp macro="" textlink="">
      <xdr:nvSpPr>
        <xdr:cNvPr id="17" name="テキスト ボックス 16">
          <a:extLst>
            <a:ext uri="{FF2B5EF4-FFF2-40B4-BE49-F238E27FC236}">
              <a16:creationId xmlns:a16="http://schemas.microsoft.com/office/drawing/2014/main" id="{D6D4F6BF-D15D-4FB1-AED3-3BB367DBC7A9}"/>
            </a:ext>
          </a:extLst>
        </xdr:cNvPr>
        <xdr:cNvSpPr txBox="1"/>
      </xdr:nvSpPr>
      <xdr:spPr>
        <a:xfrm>
          <a:off x="4933949" y="5172075"/>
          <a:ext cx="5076825" cy="2312666"/>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ja-JP" altLang="en-US" sz="1000">
              <a:solidFill>
                <a:schemeClr val="tx1"/>
              </a:solidFill>
              <a:latin typeface="HG丸ｺﾞｼｯｸM-PRO" panose="020F0600000000000000" pitchFamily="50" charset="-128"/>
              <a:ea typeface="HG丸ｺﾞｼｯｸM-PRO" panose="020F0600000000000000" pitchFamily="50" charset="-128"/>
            </a:rPr>
            <a:t>寄附金税額控除の計算方法</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①寄附金基本控除</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寄附金額－</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2,000</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円</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住民税率</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本市の場合は</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0.1)</a:t>
          </a: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寄附金額はふるさと納税及びその他条例で定める団体への寄附金額の合計</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控除対象となる寄附金額は総所得の</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30%</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を超えないものとする</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②寄附金特例控除</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ふるさと納税額－</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2,000</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円</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)×(0.9</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－所得税の税率</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×1.021[</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復興特別所得税率</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a:t>
          </a: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控除額は人的控除差の調整控除を差し引いた所得割の</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20</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％を超えないものとする</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③申告特例控除</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　寄附金特例控除</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右に定める割合</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確定申告した場合　　　　　　　　　寄附金税額控除＝①＋②</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000">
              <a:solidFill>
                <a:schemeClr val="tx1"/>
              </a:solidFill>
              <a:latin typeface="HG丸ｺﾞｼｯｸM-PRO" panose="020F0600000000000000" pitchFamily="50" charset="-128"/>
              <a:ea typeface="HG丸ｺﾞｼｯｸM-PRO" panose="020F0600000000000000" pitchFamily="50" charset="-128"/>
            </a:rPr>
            <a:t>ワンストップ特例の申請をした場合　寄附金税額控除＝①＋②＋③</a:t>
          </a:r>
        </a:p>
      </xdr:txBody>
    </xdr:sp>
    <xdr:clientData/>
  </xdr:oneCellAnchor>
  <xdr:oneCellAnchor>
    <xdr:from>
      <xdr:col>13</xdr:col>
      <xdr:colOff>371474</xdr:colOff>
      <xdr:row>25</xdr:row>
      <xdr:rowOff>104775</xdr:rowOff>
    </xdr:from>
    <xdr:ext cx="3086100" cy="1145680"/>
    <xdr:sp macro="" textlink="">
      <xdr:nvSpPr>
        <xdr:cNvPr id="18" name="テキスト ボックス 17">
          <a:extLst>
            <a:ext uri="{FF2B5EF4-FFF2-40B4-BE49-F238E27FC236}">
              <a16:creationId xmlns:a16="http://schemas.microsoft.com/office/drawing/2014/main" id="{80260307-DAA4-4C21-90DD-F4EA2FA7153F}"/>
            </a:ext>
          </a:extLst>
        </xdr:cNvPr>
        <xdr:cNvSpPr txBox="1"/>
      </xdr:nvSpPr>
      <xdr:spPr>
        <a:xfrm>
          <a:off x="10058399" y="5172075"/>
          <a:ext cx="3086100" cy="114568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ja-JP" altLang="en-US" sz="1000">
              <a:solidFill>
                <a:schemeClr val="tx1"/>
              </a:solidFill>
              <a:latin typeface="HG丸ｺﾞｼｯｸM-PRO" panose="020F0600000000000000" pitchFamily="50" charset="-128"/>
              <a:ea typeface="HG丸ｺﾞｼｯｸM-PRO" panose="020F0600000000000000" pitchFamily="50" charset="-128"/>
            </a:rPr>
            <a:t>申告特例控除の割合</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r>
            <a:rPr kumimoji="1" lang="en-US" altLang="ja-JP" sz="10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課税所得≦</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195</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万円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5.105</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84.895</a:t>
          </a:r>
        </a:p>
        <a:p>
          <a:r>
            <a:rPr kumimoji="1" lang="en-US" altLang="ja-JP" sz="10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課税所得≦</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330</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万円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10.21</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79.79</a:t>
          </a:r>
        </a:p>
        <a:p>
          <a:r>
            <a:rPr kumimoji="1" lang="en-US" altLang="ja-JP" sz="10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課税所得≦</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695</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万円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20.42</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69.58</a:t>
          </a:r>
        </a:p>
        <a:p>
          <a:r>
            <a:rPr kumimoji="1" lang="en-US" altLang="ja-JP" sz="1000">
              <a:solidFill>
                <a:schemeClr val="tx1"/>
              </a:solidFill>
              <a:latin typeface="HG丸ｺﾞｼｯｸM-PRO" panose="020F0600000000000000" pitchFamily="50" charset="-128"/>
              <a:ea typeface="HG丸ｺﾞｼｯｸM-PRO" panose="020F0600000000000000" pitchFamily="50" charset="-128"/>
            </a:rPr>
            <a:t>4)</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課税所得≦</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900</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万円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23.483</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66.517</a:t>
          </a:r>
        </a:p>
        <a:p>
          <a:r>
            <a:rPr kumimoji="1" lang="en-US" altLang="ja-JP" sz="1000">
              <a:solidFill>
                <a:schemeClr val="tx1"/>
              </a:solidFill>
              <a:latin typeface="HG丸ｺﾞｼｯｸM-PRO" panose="020F0600000000000000" pitchFamily="50" charset="-128"/>
              <a:ea typeface="HG丸ｺﾞｼｯｸM-PRO" panose="020F0600000000000000" pitchFamily="50" charset="-128"/>
            </a:rPr>
            <a:t>5)</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課税所得＞</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900</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万円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33.693</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56.307</a:t>
          </a:r>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47624</xdr:colOff>
      <xdr:row>7</xdr:row>
      <xdr:rowOff>85723</xdr:rowOff>
    </xdr:from>
    <xdr:to>
      <xdr:col>18</xdr:col>
      <xdr:colOff>28574</xdr:colOff>
      <xdr:row>25</xdr:row>
      <xdr:rowOff>66674</xdr:rowOff>
    </xdr:to>
    <xdr:graphicFrame macro="">
      <xdr:nvGraphicFramePr>
        <xdr:cNvPr id="9" name="グラフ 8">
          <a:extLst>
            <a:ext uri="{FF2B5EF4-FFF2-40B4-BE49-F238E27FC236}">
              <a16:creationId xmlns:a16="http://schemas.microsoft.com/office/drawing/2014/main" id="{C09D938C-C4FB-4B4B-AA6A-8539C079FD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47624</xdr:colOff>
      <xdr:row>1</xdr:row>
      <xdr:rowOff>9525</xdr:rowOff>
    </xdr:from>
    <xdr:ext cx="10258425" cy="1073298"/>
    <xdr:sp macro="" textlink="申告計算!R16">
      <xdr:nvSpPr>
        <xdr:cNvPr id="2" name="テキスト ボックス 1">
          <a:extLst>
            <a:ext uri="{FF2B5EF4-FFF2-40B4-BE49-F238E27FC236}">
              <a16:creationId xmlns:a16="http://schemas.microsoft.com/office/drawing/2014/main" id="{74EB10EC-128D-4206-9DA6-EA2B1F170367}"/>
            </a:ext>
          </a:extLst>
        </xdr:cNvPr>
        <xdr:cNvSpPr txBox="1"/>
      </xdr:nvSpPr>
      <xdr:spPr>
        <a:xfrm>
          <a:off x="4933949" y="847725"/>
          <a:ext cx="10258425" cy="1073298"/>
        </a:xfrm>
        <a:prstGeom prst="rect">
          <a:avLst/>
        </a:prstGeom>
        <a:solidFill>
          <a:schemeClr val="bg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oAutofit/>
        </a:bodyPr>
        <a:lstStyle/>
        <a:p>
          <a:fld id="{2BEDA5D5-78E1-4EE9-BA81-2C4E0B196620}" type="TxLink">
            <a:rPr kumimoji="1" lang="ja-JP" altLang="en-US" sz="1200" b="0" i="0" u="none" strike="noStrike">
              <a:solidFill>
                <a:srgbClr val="000000"/>
              </a:solidFill>
              <a:latin typeface="HG丸ｺﾞｼｯｸM-PRO" panose="020F0600000000000000" pitchFamily="50" charset="-128"/>
              <a:ea typeface="HG丸ｺﾞｼｯｸM-PRO" panose="020F0600000000000000" pitchFamily="50" charset="-128"/>
            </a:rPr>
            <a:pPr/>
            <a:t>あなたの合計所得は0円で、所得税が0円、住民税が0円となります。
ふるさと納税をしても寄附金特例控除を受けることはできません。</a:t>
          </a:fld>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oneCellAnchor>
  <xdr:twoCellAnchor>
    <xdr:from>
      <xdr:col>5</xdr:col>
      <xdr:colOff>266700</xdr:colOff>
      <xdr:row>39</xdr:row>
      <xdr:rowOff>95250</xdr:rowOff>
    </xdr:from>
    <xdr:to>
      <xdr:col>12</xdr:col>
      <xdr:colOff>147443</xdr:colOff>
      <xdr:row>72</xdr:row>
      <xdr:rowOff>161925</xdr:rowOff>
    </xdr:to>
    <xdr:grpSp>
      <xdr:nvGrpSpPr>
        <xdr:cNvPr id="12" name="グループ化 11">
          <a:extLst>
            <a:ext uri="{FF2B5EF4-FFF2-40B4-BE49-F238E27FC236}">
              <a16:creationId xmlns:a16="http://schemas.microsoft.com/office/drawing/2014/main" id="{4B6FEA6F-C515-4EBD-BF1E-5158CD21BEF3}"/>
            </a:ext>
          </a:extLst>
        </xdr:cNvPr>
        <xdr:cNvGrpSpPr/>
      </xdr:nvGrpSpPr>
      <xdr:grpSpPr>
        <a:xfrm>
          <a:off x="4876800" y="7477125"/>
          <a:ext cx="4271768" cy="5724525"/>
          <a:chOff x="95250" y="4467225"/>
          <a:chExt cx="4271768" cy="5724525"/>
        </a:xfrm>
      </xdr:grpSpPr>
      <xdr:pic>
        <xdr:nvPicPr>
          <xdr:cNvPr id="13" name="図 12">
            <a:extLst>
              <a:ext uri="{FF2B5EF4-FFF2-40B4-BE49-F238E27FC236}">
                <a16:creationId xmlns:a16="http://schemas.microsoft.com/office/drawing/2014/main" id="{AA57AA17-2AD6-4698-8647-952806833F58}"/>
              </a:ext>
            </a:extLst>
          </xdr:cNvPr>
          <xdr:cNvPicPr>
            <a:picLocks noChangeAspect="1" noChangeArrowheads="1"/>
          </xdr:cNvPicPr>
        </xdr:nvPicPr>
        <xdr:blipFill>
          <a:blip xmlns:r="http://schemas.openxmlformats.org/officeDocument/2006/relationships" r:embed="rId2">
            <a:lum bright="-20000" contrast="40000"/>
            <a:extLst>
              <a:ext uri="{28A0092B-C50C-407E-A947-70E740481C1C}">
                <a14:useLocalDpi xmlns:a14="http://schemas.microsoft.com/office/drawing/2010/main" val="0"/>
              </a:ext>
            </a:extLst>
          </a:blip>
          <a:srcRect/>
          <a:stretch>
            <a:fillRect/>
          </a:stretch>
        </xdr:blipFill>
        <xdr:spPr bwMode="auto">
          <a:xfrm>
            <a:off x="161925" y="4467225"/>
            <a:ext cx="4205093" cy="572452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14" name="テキスト ボックス 13">
            <a:extLst>
              <a:ext uri="{FF2B5EF4-FFF2-40B4-BE49-F238E27FC236}">
                <a16:creationId xmlns:a16="http://schemas.microsoft.com/office/drawing/2014/main" id="{798C4327-7A75-473F-832A-965A8F480A41}"/>
              </a:ext>
            </a:extLst>
          </xdr:cNvPr>
          <xdr:cNvSpPr txBox="1"/>
        </xdr:nvSpPr>
        <xdr:spPr>
          <a:xfrm>
            <a:off x="1257300" y="54197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（１）</a:t>
            </a:r>
          </a:p>
        </xdr:txBody>
      </xdr:sp>
      <xdr:sp macro="" textlink="">
        <xdr:nvSpPr>
          <xdr:cNvPr id="15" name="テキスト ボックス 14">
            <a:extLst>
              <a:ext uri="{FF2B5EF4-FFF2-40B4-BE49-F238E27FC236}">
                <a16:creationId xmlns:a16="http://schemas.microsoft.com/office/drawing/2014/main" id="{5FB24B8E-8915-45D7-A44E-4F097361FE77}"/>
              </a:ext>
            </a:extLst>
          </xdr:cNvPr>
          <xdr:cNvSpPr txBox="1"/>
        </xdr:nvSpPr>
        <xdr:spPr>
          <a:xfrm>
            <a:off x="466725" y="630555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（７）</a:t>
            </a:r>
          </a:p>
        </xdr:txBody>
      </xdr:sp>
      <xdr:sp macro="" textlink="">
        <xdr:nvSpPr>
          <xdr:cNvPr id="16" name="テキスト ボックス 15">
            <a:extLst>
              <a:ext uri="{FF2B5EF4-FFF2-40B4-BE49-F238E27FC236}">
                <a16:creationId xmlns:a16="http://schemas.microsoft.com/office/drawing/2014/main" id="{C627CC2B-062E-4DEB-BB2C-DBD64EF667BE}"/>
              </a:ext>
            </a:extLst>
          </xdr:cNvPr>
          <xdr:cNvSpPr txBox="1"/>
        </xdr:nvSpPr>
        <xdr:spPr>
          <a:xfrm>
            <a:off x="95250" y="693420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9</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19" name="テキスト ボックス 18">
            <a:extLst>
              <a:ext uri="{FF2B5EF4-FFF2-40B4-BE49-F238E27FC236}">
                <a16:creationId xmlns:a16="http://schemas.microsoft.com/office/drawing/2014/main" id="{6BA001CB-6E7F-4070-A738-E82AFE4D5BC9}"/>
              </a:ext>
            </a:extLst>
          </xdr:cNvPr>
          <xdr:cNvSpPr txBox="1"/>
        </xdr:nvSpPr>
        <xdr:spPr>
          <a:xfrm>
            <a:off x="3667125" y="542925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（３）</a:t>
            </a:r>
          </a:p>
        </xdr:txBody>
      </xdr:sp>
      <xdr:sp macro="" textlink="">
        <xdr:nvSpPr>
          <xdr:cNvPr id="20" name="正方形/長方形 19">
            <a:extLst>
              <a:ext uri="{FF2B5EF4-FFF2-40B4-BE49-F238E27FC236}">
                <a16:creationId xmlns:a16="http://schemas.microsoft.com/office/drawing/2014/main" id="{AF8F7F56-036E-4197-AA77-B1F2A1154B87}"/>
              </a:ext>
            </a:extLst>
          </xdr:cNvPr>
          <xdr:cNvSpPr/>
        </xdr:nvSpPr>
        <xdr:spPr>
          <a:xfrm>
            <a:off x="552449" y="6962776"/>
            <a:ext cx="3762375" cy="18097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1" name="テキスト ボックス 20">
            <a:extLst>
              <a:ext uri="{FF2B5EF4-FFF2-40B4-BE49-F238E27FC236}">
                <a16:creationId xmlns:a16="http://schemas.microsoft.com/office/drawing/2014/main" id="{73D74CB8-B49B-42AE-AA07-C4F8B79FA83B}"/>
              </a:ext>
            </a:extLst>
          </xdr:cNvPr>
          <xdr:cNvSpPr txBox="1"/>
        </xdr:nvSpPr>
        <xdr:spPr>
          <a:xfrm>
            <a:off x="1104900" y="752475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4</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22" name="テキスト ボックス 21">
            <a:extLst>
              <a:ext uri="{FF2B5EF4-FFF2-40B4-BE49-F238E27FC236}">
                <a16:creationId xmlns:a16="http://schemas.microsoft.com/office/drawing/2014/main" id="{294D8FEF-C371-4534-BBC9-5DB07FB6E278}"/>
              </a:ext>
            </a:extLst>
          </xdr:cNvPr>
          <xdr:cNvSpPr txBox="1"/>
        </xdr:nvSpPr>
        <xdr:spPr>
          <a:xfrm>
            <a:off x="2562225" y="627697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10</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23" name="テキスト ボックス 22">
            <a:extLst>
              <a:ext uri="{FF2B5EF4-FFF2-40B4-BE49-F238E27FC236}">
                <a16:creationId xmlns:a16="http://schemas.microsoft.com/office/drawing/2014/main" id="{52FFB1C2-702C-453B-BA42-00AC442D183B}"/>
              </a:ext>
            </a:extLst>
          </xdr:cNvPr>
          <xdr:cNvSpPr txBox="1"/>
        </xdr:nvSpPr>
        <xdr:spPr>
          <a:xfrm>
            <a:off x="3600450" y="626745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15</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24" name="正方形/長方形 23">
            <a:extLst>
              <a:ext uri="{FF2B5EF4-FFF2-40B4-BE49-F238E27FC236}">
                <a16:creationId xmlns:a16="http://schemas.microsoft.com/office/drawing/2014/main" id="{E876F685-595E-4656-9E5D-1B5764F39EED}"/>
              </a:ext>
            </a:extLst>
          </xdr:cNvPr>
          <xdr:cNvSpPr/>
        </xdr:nvSpPr>
        <xdr:spPr>
          <a:xfrm>
            <a:off x="247650" y="7467600"/>
            <a:ext cx="2581276" cy="32384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5" name="正方形/長方形 24">
            <a:extLst>
              <a:ext uri="{FF2B5EF4-FFF2-40B4-BE49-F238E27FC236}">
                <a16:creationId xmlns:a16="http://schemas.microsoft.com/office/drawing/2014/main" id="{5BF6DEA7-972C-4A7C-9A10-5207A25738C0}"/>
              </a:ext>
            </a:extLst>
          </xdr:cNvPr>
          <xdr:cNvSpPr/>
        </xdr:nvSpPr>
        <xdr:spPr>
          <a:xfrm>
            <a:off x="257174" y="7810500"/>
            <a:ext cx="3533775" cy="1257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6" name="テキスト ボックス 25">
            <a:extLst>
              <a:ext uri="{FF2B5EF4-FFF2-40B4-BE49-F238E27FC236}">
                <a16:creationId xmlns:a16="http://schemas.microsoft.com/office/drawing/2014/main" id="{3967B497-C124-443D-8001-1E99F3A4EB76}"/>
              </a:ext>
            </a:extLst>
          </xdr:cNvPr>
          <xdr:cNvSpPr txBox="1"/>
        </xdr:nvSpPr>
        <xdr:spPr>
          <a:xfrm>
            <a:off x="1790700" y="83153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5</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27" name="正方形/長方形 26">
            <a:extLst>
              <a:ext uri="{FF2B5EF4-FFF2-40B4-BE49-F238E27FC236}">
                <a16:creationId xmlns:a16="http://schemas.microsoft.com/office/drawing/2014/main" id="{2272449F-739B-4E72-9948-B313F28E12BA}"/>
              </a:ext>
            </a:extLst>
          </xdr:cNvPr>
          <xdr:cNvSpPr/>
        </xdr:nvSpPr>
        <xdr:spPr>
          <a:xfrm>
            <a:off x="1209675" y="9096375"/>
            <a:ext cx="9144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8" name="テキスト ボックス 27">
            <a:extLst>
              <a:ext uri="{FF2B5EF4-FFF2-40B4-BE49-F238E27FC236}">
                <a16:creationId xmlns:a16="http://schemas.microsoft.com/office/drawing/2014/main" id="{3833C8FA-A323-4AA8-9FD1-FE5F55022B67}"/>
              </a:ext>
            </a:extLst>
          </xdr:cNvPr>
          <xdr:cNvSpPr txBox="1"/>
        </xdr:nvSpPr>
        <xdr:spPr>
          <a:xfrm>
            <a:off x="1209675" y="9248775"/>
            <a:ext cx="876300" cy="166712"/>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0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000" b="1">
                <a:solidFill>
                  <a:srgbClr val="FF0000"/>
                </a:solidFill>
                <a:latin typeface="HG丸ｺﾞｼｯｸM-PRO" panose="020F0600000000000000" pitchFamily="50" charset="-128"/>
                <a:ea typeface="HG丸ｺﾞｼｯｸM-PRO" panose="020F0600000000000000" pitchFamily="50" charset="-128"/>
              </a:rPr>
              <a:t>11</a:t>
            </a:r>
            <a:r>
              <a:rPr kumimoji="1" lang="ja-JP" altLang="en-US" sz="10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000" b="1">
                <a:solidFill>
                  <a:srgbClr val="FF0000"/>
                </a:solidFill>
                <a:latin typeface="HG丸ｺﾞｼｯｸM-PRO" panose="020F0600000000000000" pitchFamily="50" charset="-128"/>
                <a:ea typeface="HG丸ｺﾞｼｯｸM-PRO" panose="020F0600000000000000" pitchFamily="50" charset="-128"/>
              </a:rPr>
              <a:t>(14)</a:t>
            </a:r>
            <a:endParaRPr kumimoji="1" lang="ja-JP" altLang="en-US" sz="1000" b="1">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12</xdr:col>
      <xdr:colOff>247650</xdr:colOff>
      <xdr:row>39</xdr:row>
      <xdr:rowOff>95250</xdr:rowOff>
    </xdr:from>
    <xdr:to>
      <xdr:col>20</xdr:col>
      <xdr:colOff>657225</xdr:colOff>
      <xdr:row>62</xdr:row>
      <xdr:rowOff>47625</xdr:rowOff>
    </xdr:to>
    <xdr:grpSp>
      <xdr:nvGrpSpPr>
        <xdr:cNvPr id="29" name="グループ化 28">
          <a:extLst>
            <a:ext uri="{FF2B5EF4-FFF2-40B4-BE49-F238E27FC236}">
              <a16:creationId xmlns:a16="http://schemas.microsoft.com/office/drawing/2014/main" id="{06D20395-6834-42FA-8A98-0C08C86A2D16}"/>
            </a:ext>
          </a:extLst>
        </xdr:cNvPr>
        <xdr:cNvGrpSpPr/>
      </xdr:nvGrpSpPr>
      <xdr:grpSpPr>
        <a:xfrm>
          <a:off x="9248775" y="7477125"/>
          <a:ext cx="5895975" cy="3895725"/>
          <a:chOff x="4648200" y="4467225"/>
          <a:chExt cx="5895975" cy="3895725"/>
        </a:xfrm>
      </xdr:grpSpPr>
      <xdr:pic>
        <xdr:nvPicPr>
          <xdr:cNvPr id="30" name="図 29">
            <a:extLst>
              <a:ext uri="{FF2B5EF4-FFF2-40B4-BE49-F238E27FC236}">
                <a16:creationId xmlns:a16="http://schemas.microsoft.com/office/drawing/2014/main" id="{2690B2FC-DD31-49ED-A1C1-258BE4257532}"/>
              </a:ext>
            </a:extLst>
          </xdr:cNvPr>
          <xdr:cNvPicPr>
            <a:picLocks noChangeAspect="1" noChangeArrowheads="1"/>
          </xdr:cNvPicPr>
        </xdr:nvPicPr>
        <xdr:blipFill>
          <a:blip xmlns:r="http://schemas.openxmlformats.org/officeDocument/2006/relationships" r:embed="rId3">
            <a:lum bright="-20000" contrast="40000"/>
            <a:extLst>
              <a:ext uri="{28A0092B-C50C-407E-A947-70E740481C1C}">
                <a14:useLocalDpi xmlns:a14="http://schemas.microsoft.com/office/drawing/2010/main" val="0"/>
              </a:ext>
            </a:extLst>
          </a:blip>
          <a:srcRect/>
          <a:stretch>
            <a:fillRect/>
          </a:stretch>
        </xdr:blipFill>
        <xdr:spPr bwMode="auto">
          <a:xfrm>
            <a:off x="4648200" y="4467225"/>
            <a:ext cx="5895975" cy="389572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31" name="テキスト ボックス 30">
            <a:extLst>
              <a:ext uri="{FF2B5EF4-FFF2-40B4-BE49-F238E27FC236}">
                <a16:creationId xmlns:a16="http://schemas.microsoft.com/office/drawing/2014/main" id="{8960001B-DFB3-45E5-9B5A-65F9785FF710}"/>
              </a:ext>
            </a:extLst>
          </xdr:cNvPr>
          <xdr:cNvSpPr txBox="1"/>
        </xdr:nvSpPr>
        <xdr:spPr>
          <a:xfrm>
            <a:off x="6981825" y="571500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（２）</a:t>
            </a:r>
          </a:p>
        </xdr:txBody>
      </xdr:sp>
      <xdr:sp macro="" textlink="">
        <xdr:nvSpPr>
          <xdr:cNvPr id="32" name="テキスト ボックス 31">
            <a:extLst>
              <a:ext uri="{FF2B5EF4-FFF2-40B4-BE49-F238E27FC236}">
                <a16:creationId xmlns:a16="http://schemas.microsoft.com/office/drawing/2014/main" id="{5B11E323-D026-47D6-8201-1BA4E5DD177C}"/>
              </a:ext>
            </a:extLst>
          </xdr:cNvPr>
          <xdr:cNvSpPr txBox="1"/>
        </xdr:nvSpPr>
        <xdr:spPr>
          <a:xfrm>
            <a:off x="9182100" y="57245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（３）</a:t>
            </a:r>
          </a:p>
        </xdr:txBody>
      </xdr:sp>
      <xdr:sp macro="" textlink="">
        <xdr:nvSpPr>
          <xdr:cNvPr id="33" name="正方形/長方形 32">
            <a:extLst>
              <a:ext uri="{FF2B5EF4-FFF2-40B4-BE49-F238E27FC236}">
                <a16:creationId xmlns:a16="http://schemas.microsoft.com/office/drawing/2014/main" id="{57D046E4-379D-4A18-A759-4CB2A9B0771C}"/>
              </a:ext>
            </a:extLst>
          </xdr:cNvPr>
          <xdr:cNvSpPr/>
        </xdr:nvSpPr>
        <xdr:spPr>
          <a:xfrm>
            <a:off x="6286500" y="5448300"/>
            <a:ext cx="2076450" cy="7143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34" name="正方形/長方形 33">
            <a:extLst>
              <a:ext uri="{FF2B5EF4-FFF2-40B4-BE49-F238E27FC236}">
                <a16:creationId xmlns:a16="http://schemas.microsoft.com/office/drawing/2014/main" id="{12DDD949-61ED-42A2-BA3B-BB217805B847}"/>
              </a:ext>
            </a:extLst>
          </xdr:cNvPr>
          <xdr:cNvSpPr/>
        </xdr:nvSpPr>
        <xdr:spPr>
          <a:xfrm>
            <a:off x="8401050" y="5457825"/>
            <a:ext cx="2019300" cy="7143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35" name="テキスト ボックス 34">
            <a:extLst>
              <a:ext uri="{FF2B5EF4-FFF2-40B4-BE49-F238E27FC236}">
                <a16:creationId xmlns:a16="http://schemas.microsoft.com/office/drawing/2014/main" id="{4889C721-2B43-49DF-9AFE-2933A0E14396}"/>
              </a:ext>
            </a:extLst>
          </xdr:cNvPr>
          <xdr:cNvSpPr txBox="1"/>
        </xdr:nvSpPr>
        <xdr:spPr>
          <a:xfrm>
            <a:off x="9820275" y="6496050"/>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（７）</a:t>
            </a:r>
          </a:p>
        </xdr:txBody>
      </xdr:sp>
      <xdr:sp macro="" textlink="">
        <xdr:nvSpPr>
          <xdr:cNvPr id="36" name="テキスト ボックス 35">
            <a:extLst>
              <a:ext uri="{FF2B5EF4-FFF2-40B4-BE49-F238E27FC236}">
                <a16:creationId xmlns:a16="http://schemas.microsoft.com/office/drawing/2014/main" id="{C5C81C74-EA9E-463D-A3AC-95E42F4D3B22}"/>
              </a:ext>
            </a:extLst>
          </xdr:cNvPr>
          <xdr:cNvSpPr txBox="1"/>
        </xdr:nvSpPr>
        <xdr:spPr>
          <a:xfrm>
            <a:off x="5534025" y="68675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（４）</a:t>
            </a:r>
          </a:p>
        </xdr:txBody>
      </xdr:sp>
      <xdr:sp macro="" textlink="">
        <xdr:nvSpPr>
          <xdr:cNvPr id="37" name="テキスト ボックス 36">
            <a:extLst>
              <a:ext uri="{FF2B5EF4-FFF2-40B4-BE49-F238E27FC236}">
                <a16:creationId xmlns:a16="http://schemas.microsoft.com/office/drawing/2014/main" id="{8BE0CD6E-39FA-4C36-A252-657C69482EF8}"/>
              </a:ext>
            </a:extLst>
          </xdr:cNvPr>
          <xdr:cNvSpPr txBox="1"/>
        </xdr:nvSpPr>
        <xdr:spPr>
          <a:xfrm>
            <a:off x="8429625" y="7096125"/>
            <a:ext cx="552449"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5</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p>
        </xdr:txBody>
      </xdr:sp>
      <xdr:sp macro="" textlink="">
        <xdr:nvSpPr>
          <xdr:cNvPr id="38" name="正方形/長方形 37">
            <a:extLst>
              <a:ext uri="{FF2B5EF4-FFF2-40B4-BE49-F238E27FC236}">
                <a16:creationId xmlns:a16="http://schemas.microsoft.com/office/drawing/2014/main" id="{D0D52F21-F60D-4847-B26F-782CAE6DD395}"/>
              </a:ext>
            </a:extLst>
          </xdr:cNvPr>
          <xdr:cNvSpPr/>
        </xdr:nvSpPr>
        <xdr:spPr>
          <a:xfrm>
            <a:off x="6962775" y="6705600"/>
            <a:ext cx="3467100" cy="10001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39" name="正方形/長方形 38">
            <a:extLst>
              <a:ext uri="{FF2B5EF4-FFF2-40B4-BE49-F238E27FC236}">
                <a16:creationId xmlns:a16="http://schemas.microsoft.com/office/drawing/2014/main" id="{6259E8A1-7DA4-488C-A359-E9FF087F1FC1}"/>
              </a:ext>
            </a:extLst>
          </xdr:cNvPr>
          <xdr:cNvSpPr/>
        </xdr:nvSpPr>
        <xdr:spPr>
          <a:xfrm>
            <a:off x="4791075" y="6191250"/>
            <a:ext cx="150495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40" name="テキスト ボックス 39">
            <a:extLst>
              <a:ext uri="{FF2B5EF4-FFF2-40B4-BE49-F238E27FC236}">
                <a16:creationId xmlns:a16="http://schemas.microsoft.com/office/drawing/2014/main" id="{EE5C0BEC-3953-453F-89DD-77BB584E52EE}"/>
              </a:ext>
            </a:extLst>
          </xdr:cNvPr>
          <xdr:cNvSpPr txBox="1"/>
        </xdr:nvSpPr>
        <xdr:spPr>
          <a:xfrm>
            <a:off x="4953000" y="6467475"/>
            <a:ext cx="1066800" cy="200119"/>
          </a:xfrm>
          <a:prstGeom prst="rect">
            <a:avLst/>
          </a:prstGeom>
          <a:noFill/>
          <a:ln w="9525" cmpd="sng">
            <a:noFill/>
          </a:ln>
          <a:effectLst>
            <a:glow rad="101600">
              <a:schemeClr val="bg1"/>
            </a:glow>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11</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(12)</a:t>
            </a:r>
            <a:endParaRPr kumimoji="1" lang="ja-JP" altLang="en-US" sz="1200" b="1">
              <a:solidFill>
                <a:srgbClr val="FF0000"/>
              </a:solidFill>
              <a:latin typeface="HG丸ｺﾞｼｯｸM-PRO" panose="020F0600000000000000" pitchFamily="50" charset="-128"/>
              <a:ea typeface="HG丸ｺﾞｼｯｸM-PRO" panose="020F0600000000000000" pitchFamily="50" charset="-128"/>
            </a:endParaRPr>
          </a:p>
        </xdr:txBody>
      </xdr:sp>
    </xdr:grpSp>
    <xdr:clientData/>
  </xdr:twoCellAnchor>
  <xdr:oneCellAnchor>
    <xdr:from>
      <xdr:col>12</xdr:col>
      <xdr:colOff>304800</xdr:colOff>
      <xdr:row>63</xdr:row>
      <xdr:rowOff>19050</xdr:rowOff>
    </xdr:from>
    <xdr:ext cx="5791200" cy="612201"/>
    <xdr:sp macro="" textlink="">
      <xdr:nvSpPr>
        <xdr:cNvPr id="41" name="テキスト ボックス 40">
          <a:extLst>
            <a:ext uri="{FF2B5EF4-FFF2-40B4-BE49-F238E27FC236}">
              <a16:creationId xmlns:a16="http://schemas.microsoft.com/office/drawing/2014/main" id="{437300E7-038B-48B0-90DA-64C3B091E92B}"/>
            </a:ext>
          </a:extLst>
        </xdr:cNvPr>
        <xdr:cNvSpPr txBox="1"/>
      </xdr:nvSpPr>
      <xdr:spPr>
        <a:xfrm>
          <a:off x="9305925" y="11515725"/>
          <a:ext cx="5791200" cy="6122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ja-JP" altLang="en-US" sz="1400">
              <a:solidFill>
                <a:schemeClr val="tx1"/>
              </a:solidFill>
              <a:latin typeface="HG丸ｺﾞｼｯｸM-PRO" panose="020F0600000000000000" pitchFamily="50" charset="-128"/>
              <a:ea typeface="HG丸ｺﾞｼｯｸM-PRO" panose="020F0600000000000000" pitchFamily="50" charset="-128"/>
            </a:rPr>
            <a:t>会社や年金保険者から交付された源泉徴収票の内容について、（　）で対応した欄の収入や控除へ入力していってください。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161925</xdr:rowOff>
    </xdr:from>
    <xdr:to>
      <xdr:col>7</xdr:col>
      <xdr:colOff>847725</xdr:colOff>
      <xdr:row>29</xdr:row>
      <xdr:rowOff>66675</xdr:rowOff>
    </xdr:to>
    <xdr:sp macro="" textlink="">
      <xdr:nvSpPr>
        <xdr:cNvPr id="3" name="テキスト ボックス 2">
          <a:extLst>
            <a:ext uri="{FF2B5EF4-FFF2-40B4-BE49-F238E27FC236}">
              <a16:creationId xmlns:a16="http://schemas.microsoft.com/office/drawing/2014/main" id="{B0D957DB-D4AA-45FD-9146-B93935F15516}"/>
            </a:ext>
          </a:extLst>
        </xdr:cNvPr>
        <xdr:cNvSpPr txBox="1"/>
      </xdr:nvSpPr>
      <xdr:spPr>
        <a:xfrm>
          <a:off x="0" y="4448175"/>
          <a:ext cx="6372225" cy="5905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青色のセルを住む自治体の条件や法律改正に合わせて修正して試算することも可能です。</a:t>
          </a:r>
        </a:p>
      </xdr:txBody>
    </xdr:sp>
    <xdr:clientData/>
  </xdr:twoCellAnchor>
  <xdr:twoCellAnchor>
    <xdr:from>
      <xdr:col>5</xdr:col>
      <xdr:colOff>285750</xdr:colOff>
      <xdr:row>31</xdr:row>
      <xdr:rowOff>47625</xdr:rowOff>
    </xdr:from>
    <xdr:to>
      <xdr:col>10</xdr:col>
      <xdr:colOff>180975</xdr:colOff>
      <xdr:row>34</xdr:row>
      <xdr:rowOff>123825</xdr:rowOff>
    </xdr:to>
    <xdr:sp macro="" textlink="">
      <xdr:nvSpPr>
        <xdr:cNvPr id="4" name="テキスト ボックス 3">
          <a:extLst>
            <a:ext uri="{FF2B5EF4-FFF2-40B4-BE49-F238E27FC236}">
              <a16:creationId xmlns:a16="http://schemas.microsoft.com/office/drawing/2014/main" id="{713D5DD7-998F-4BAB-BA4E-329AFFFFED51}"/>
            </a:ext>
          </a:extLst>
        </xdr:cNvPr>
        <xdr:cNvSpPr txBox="1"/>
      </xdr:nvSpPr>
      <xdr:spPr>
        <a:xfrm>
          <a:off x="4095750" y="5362575"/>
          <a:ext cx="3895725" cy="590550"/>
        </a:xfrm>
        <a:prstGeom prst="borderCallout2">
          <a:avLst>
            <a:gd name="adj1" fmla="val 51008"/>
            <a:gd name="adj2" fmla="val 100468"/>
            <a:gd name="adj3" fmla="val 9073"/>
            <a:gd name="adj4" fmla="val 124898"/>
            <a:gd name="adj5" fmla="val 9274"/>
            <a:gd name="adj6" fmla="val 149176"/>
          </a:avLst>
        </a:prstGeom>
        <a:solidFill>
          <a:srgbClr val="FFCCFF"/>
        </a:solidFill>
        <a:ln w="28575" cmpd="sng">
          <a:solidFill>
            <a:srgbClr val="FF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ピンク色のセルは特別徴収対象者の納税通知では税額控除としてまとめられます。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257175</xdr:colOff>
      <xdr:row>0</xdr:row>
      <xdr:rowOff>0</xdr:rowOff>
    </xdr:from>
    <xdr:to>
      <xdr:col>15</xdr:col>
      <xdr:colOff>114300</xdr:colOff>
      <xdr:row>2</xdr:row>
      <xdr:rowOff>19050</xdr:rowOff>
    </xdr:to>
    <xdr:sp macro="" textlink="">
      <xdr:nvSpPr>
        <xdr:cNvPr id="2" name="テキスト ボックス 1">
          <a:extLst>
            <a:ext uri="{FF2B5EF4-FFF2-40B4-BE49-F238E27FC236}">
              <a16:creationId xmlns:a16="http://schemas.microsoft.com/office/drawing/2014/main" id="{031B9AB5-26EB-4F2A-90A7-62EB9FC86B95}"/>
            </a:ext>
          </a:extLst>
        </xdr:cNvPr>
        <xdr:cNvSpPr txBox="1"/>
      </xdr:nvSpPr>
      <xdr:spPr>
        <a:xfrm>
          <a:off x="5457825" y="0"/>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10</xdr:row>
      <xdr:rowOff>0</xdr:rowOff>
    </xdr:from>
    <xdr:to>
      <xdr:col>8</xdr:col>
      <xdr:colOff>104775</xdr:colOff>
      <xdr:row>12</xdr:row>
      <xdr:rowOff>19050</xdr:rowOff>
    </xdr:to>
    <xdr:sp macro="" textlink="">
      <xdr:nvSpPr>
        <xdr:cNvPr id="2" name="テキスト ボックス 1">
          <a:extLst>
            <a:ext uri="{FF2B5EF4-FFF2-40B4-BE49-F238E27FC236}">
              <a16:creationId xmlns:a16="http://schemas.microsoft.com/office/drawing/2014/main" id="{9C5E1E63-FE84-48A6-A063-CC406EA2AF50}"/>
            </a:ext>
          </a:extLst>
        </xdr:cNvPr>
        <xdr:cNvSpPr txBox="1"/>
      </xdr:nvSpPr>
      <xdr:spPr>
        <a:xfrm>
          <a:off x="1" y="1714500"/>
          <a:ext cx="5657849" cy="36195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628650</xdr:colOff>
      <xdr:row>13</xdr:row>
      <xdr:rowOff>95250</xdr:rowOff>
    </xdr:from>
    <xdr:to>
      <xdr:col>14</xdr:col>
      <xdr:colOff>9525</xdr:colOff>
      <xdr:row>15</xdr:row>
      <xdr:rowOff>114300</xdr:rowOff>
    </xdr:to>
    <xdr:sp macro="" textlink="">
      <xdr:nvSpPr>
        <xdr:cNvPr id="2" name="テキスト ボックス 1">
          <a:extLst>
            <a:ext uri="{FF2B5EF4-FFF2-40B4-BE49-F238E27FC236}">
              <a16:creationId xmlns:a16="http://schemas.microsoft.com/office/drawing/2014/main" id="{2FD1FAA8-90B6-45C2-8459-A531242F913F}"/>
            </a:ext>
          </a:extLst>
        </xdr:cNvPr>
        <xdr:cNvSpPr txBox="1"/>
      </xdr:nvSpPr>
      <xdr:spPr>
        <a:xfrm>
          <a:off x="1028700" y="2324100"/>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533400</xdr:colOff>
      <xdr:row>1</xdr:row>
      <xdr:rowOff>19050</xdr:rowOff>
    </xdr:from>
    <xdr:to>
      <xdr:col>14</xdr:col>
      <xdr:colOff>390525</xdr:colOff>
      <xdr:row>3</xdr:row>
      <xdr:rowOff>38100</xdr:rowOff>
    </xdr:to>
    <xdr:sp macro="" textlink="">
      <xdr:nvSpPr>
        <xdr:cNvPr id="2" name="テキスト ボックス 1">
          <a:extLst>
            <a:ext uri="{FF2B5EF4-FFF2-40B4-BE49-F238E27FC236}">
              <a16:creationId xmlns:a16="http://schemas.microsoft.com/office/drawing/2014/main" id="{36B67FF5-6C15-4387-9432-1436ECDFC71F}"/>
            </a:ext>
          </a:extLst>
        </xdr:cNvPr>
        <xdr:cNvSpPr txBox="1"/>
      </xdr:nvSpPr>
      <xdr:spPr>
        <a:xfrm>
          <a:off x="3200400" y="190500"/>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xdr:colOff>
      <xdr:row>9</xdr:row>
      <xdr:rowOff>66675</xdr:rowOff>
    </xdr:from>
    <xdr:to>
      <xdr:col>9</xdr:col>
      <xdr:colOff>590550</xdr:colOff>
      <xdr:row>11</xdr:row>
      <xdr:rowOff>85725</xdr:rowOff>
    </xdr:to>
    <xdr:sp macro="" textlink="">
      <xdr:nvSpPr>
        <xdr:cNvPr id="2" name="テキスト ボックス 1">
          <a:extLst>
            <a:ext uri="{FF2B5EF4-FFF2-40B4-BE49-F238E27FC236}">
              <a16:creationId xmlns:a16="http://schemas.microsoft.com/office/drawing/2014/main" id="{4201C552-66DD-42BB-BB08-68FD64EAE15D}"/>
            </a:ext>
          </a:extLst>
        </xdr:cNvPr>
        <xdr:cNvSpPr txBox="1"/>
      </xdr:nvSpPr>
      <xdr:spPr>
        <a:xfrm>
          <a:off x="2790825" y="1609725"/>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9525</xdr:colOff>
      <xdr:row>10</xdr:row>
      <xdr:rowOff>161925</xdr:rowOff>
    </xdr:from>
    <xdr:to>
      <xdr:col>9</xdr:col>
      <xdr:colOff>400050</xdr:colOff>
      <xdr:row>13</xdr:row>
      <xdr:rowOff>9525</xdr:rowOff>
    </xdr:to>
    <xdr:sp macro="" textlink="">
      <xdr:nvSpPr>
        <xdr:cNvPr id="2" name="テキスト ボックス 1">
          <a:extLst>
            <a:ext uri="{FF2B5EF4-FFF2-40B4-BE49-F238E27FC236}">
              <a16:creationId xmlns:a16="http://schemas.microsoft.com/office/drawing/2014/main" id="{9B676050-1498-4727-B9DD-AC3B2C5D7150}"/>
            </a:ext>
          </a:extLst>
        </xdr:cNvPr>
        <xdr:cNvSpPr txBox="1"/>
      </xdr:nvSpPr>
      <xdr:spPr>
        <a:xfrm>
          <a:off x="2105025" y="1876425"/>
          <a:ext cx="6029325" cy="361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丸ｺﾞｼｯｸM-PRO" panose="020F0600000000000000" pitchFamily="50" charset="-128"/>
              <a:ea typeface="HG丸ｺﾞｼｯｸM-PRO" panose="020F0600000000000000" pitchFamily="50" charset="-128"/>
            </a:rPr>
            <a:t>青色のセルを法律改正に合わせて修正して試算することも可能です。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E6C9-6450-41FD-917A-A64C4D05890C}">
  <dimension ref="A1"/>
  <sheetViews>
    <sheetView view="pageBreakPreview" zoomScaleNormal="100" zoomScaleSheetLayoutView="100" workbookViewId="0">
      <selection activeCell="J72" sqref="J72"/>
    </sheetView>
  </sheetViews>
  <sheetFormatPr defaultRowHeight="13.5"/>
  <sheetData/>
  <sheetProtection sheet="1" objects="1" scenarios="1"/>
  <phoneticPr fontId="4"/>
  <pageMargins left="0.7" right="0.7" top="0.75" bottom="0.75" header="0.3" footer="0.3"/>
  <pageSetup paperSize="9" scale="93" orientation="landscape" verticalDpi="0" r:id="rId1"/>
  <rowBreaks count="2" manualBreakCount="2">
    <brk id="39" max="16383" man="1"/>
    <brk id="7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DD16-2E32-433D-A0C9-7E5FA8F15738}">
  <sheetPr>
    <tabColor theme="4" tint="0.59999389629810485"/>
  </sheetPr>
  <dimension ref="A1:K10"/>
  <sheetViews>
    <sheetView workbookViewId="0">
      <selection activeCell="B8" sqref="B8"/>
    </sheetView>
  </sheetViews>
  <sheetFormatPr defaultRowHeight="13.5"/>
  <cols>
    <col min="1" max="2" width="12.5" customWidth="1"/>
    <col min="3" max="3" width="2.5" customWidth="1"/>
    <col min="4" max="4" width="15" customWidth="1"/>
    <col min="6" max="11" width="12.5" customWidth="1"/>
  </cols>
  <sheetData>
    <row r="1" spans="1:11">
      <c r="A1" t="s">
        <v>181</v>
      </c>
    </row>
    <row r="2" spans="1:11">
      <c r="A2" s="10" t="s">
        <v>66</v>
      </c>
      <c r="B2" s="10" t="s">
        <v>148</v>
      </c>
      <c r="D2" s="111" t="s">
        <v>185</v>
      </c>
      <c r="E2" s="112" t="s">
        <v>137</v>
      </c>
      <c r="F2" s="111" t="s">
        <v>138</v>
      </c>
      <c r="G2" s="111"/>
      <c r="H2" s="111" t="s">
        <v>159</v>
      </c>
      <c r="I2" s="111" t="s">
        <v>134</v>
      </c>
      <c r="J2" s="111"/>
      <c r="K2" s="111" t="s">
        <v>159</v>
      </c>
    </row>
    <row r="3" spans="1:11">
      <c r="A3" s="18" t="s">
        <v>177</v>
      </c>
      <c r="B3" s="10" t="str">
        <f>IF(あなたの所得控除情報!E36="","",あなたの所得控除情報!E36)</f>
        <v/>
      </c>
      <c r="D3" s="111"/>
      <c r="E3" s="113"/>
      <c r="F3" s="10" t="s">
        <v>70</v>
      </c>
      <c r="G3" s="10" t="s">
        <v>71</v>
      </c>
      <c r="H3" s="111"/>
      <c r="I3" s="10" t="s">
        <v>70</v>
      </c>
      <c r="J3" s="10" t="s">
        <v>71</v>
      </c>
      <c r="K3" s="111"/>
    </row>
    <row r="4" spans="1:11">
      <c r="A4" s="18" t="s">
        <v>178</v>
      </c>
      <c r="B4" s="10">
        <f>あなたの所得控除情報!E37</f>
        <v>0</v>
      </c>
      <c r="D4" s="10" t="s">
        <v>182</v>
      </c>
      <c r="E4" s="10">
        <f>B6+IF(B3="普通障害",1,0)</f>
        <v>0</v>
      </c>
      <c r="F4" s="28">
        <v>270000</v>
      </c>
      <c r="G4" s="28">
        <v>260000</v>
      </c>
      <c r="H4" s="28">
        <f>F4-G4</f>
        <v>10000</v>
      </c>
      <c r="I4" s="14">
        <f>$E4*F4</f>
        <v>0</v>
      </c>
      <c r="J4" s="14">
        <f t="shared" ref="J4:K4" si="0">$E4*G4</f>
        <v>0</v>
      </c>
      <c r="K4" s="14">
        <f t="shared" si="0"/>
        <v>0</v>
      </c>
    </row>
    <row r="5" spans="1:11">
      <c r="A5" s="18" t="s">
        <v>179</v>
      </c>
      <c r="B5" s="10">
        <f>あなたの所得控除情報!E38</f>
        <v>0</v>
      </c>
      <c r="D5" s="10" t="s">
        <v>183</v>
      </c>
      <c r="E5" s="10">
        <f>B6+IF(B3="特別障害",1,0)</f>
        <v>0</v>
      </c>
      <c r="F5" s="28">
        <v>400000</v>
      </c>
      <c r="G5" s="28">
        <v>300000</v>
      </c>
      <c r="H5" s="28">
        <f t="shared" ref="H5:H6" si="1">F5-G5</f>
        <v>100000</v>
      </c>
      <c r="I5" s="14">
        <f t="shared" ref="I5:I6" si="2">$E5*F5</f>
        <v>0</v>
      </c>
      <c r="J5" s="14">
        <f t="shared" ref="J5:J6" si="3">$E5*G5</f>
        <v>0</v>
      </c>
      <c r="K5" s="14">
        <f t="shared" ref="K5:K6" si="4">$E5*H5</f>
        <v>0</v>
      </c>
    </row>
    <row r="6" spans="1:11">
      <c r="A6" s="18" t="s">
        <v>180</v>
      </c>
      <c r="B6" s="10">
        <f>あなたの所得控除情報!E39</f>
        <v>0</v>
      </c>
      <c r="D6" s="10" t="s">
        <v>184</v>
      </c>
      <c r="E6" s="10">
        <f>B5</f>
        <v>0</v>
      </c>
      <c r="F6" s="28">
        <v>750000</v>
      </c>
      <c r="G6" s="28">
        <v>530000</v>
      </c>
      <c r="H6" s="28">
        <f t="shared" si="1"/>
        <v>220000</v>
      </c>
      <c r="I6" s="14">
        <f t="shared" si="2"/>
        <v>0</v>
      </c>
      <c r="J6" s="14">
        <f t="shared" si="3"/>
        <v>0</v>
      </c>
      <c r="K6" s="14">
        <f t="shared" si="4"/>
        <v>0</v>
      </c>
    </row>
    <row r="9" spans="1:11">
      <c r="H9" s="10"/>
      <c r="I9" s="10" t="s">
        <v>70</v>
      </c>
      <c r="J9" s="10" t="s">
        <v>71</v>
      </c>
      <c r="K9" s="10" t="s">
        <v>133</v>
      </c>
    </row>
    <row r="10" spans="1:11">
      <c r="H10" s="10" t="s">
        <v>134</v>
      </c>
      <c r="I10" s="14">
        <f>SUM(I4:I6)</f>
        <v>0</v>
      </c>
      <c r="J10" s="14">
        <f>SUM(J4:J6)</f>
        <v>0</v>
      </c>
      <c r="K10" s="14">
        <f>SUM(K4:K6)</f>
        <v>0</v>
      </c>
    </row>
  </sheetData>
  <sheetProtection sheet="1" objects="1" scenarios="1"/>
  <mergeCells count="6">
    <mergeCell ref="D2:D3"/>
    <mergeCell ref="F2:G2"/>
    <mergeCell ref="H2:H3"/>
    <mergeCell ref="I2:J2"/>
    <mergeCell ref="K2:K3"/>
    <mergeCell ref="E2:E3"/>
  </mergeCells>
  <phoneticPr fontId="4"/>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0509A-8AD4-4835-813C-1997BDBCC49E}">
  <sheetPr>
    <tabColor theme="4" tint="0.59999389629810485"/>
  </sheetPr>
  <dimension ref="A1:H6"/>
  <sheetViews>
    <sheetView workbookViewId="0">
      <selection activeCell="E3" sqref="E3:G3"/>
    </sheetView>
  </sheetViews>
  <sheetFormatPr defaultRowHeight="13.5"/>
  <cols>
    <col min="1" max="2" width="12.5" customWidth="1"/>
    <col min="3" max="3" width="2.5" customWidth="1"/>
    <col min="4" max="7" width="12.5" customWidth="1"/>
  </cols>
  <sheetData>
    <row r="1" spans="1:8">
      <c r="A1" t="s">
        <v>186</v>
      </c>
    </row>
    <row r="2" spans="1:8">
      <c r="A2" s="10" t="s">
        <v>66</v>
      </c>
      <c r="B2" s="10" t="s">
        <v>148</v>
      </c>
      <c r="D2" s="10"/>
      <c r="E2" s="10" t="s">
        <v>70</v>
      </c>
      <c r="F2" s="10" t="s">
        <v>71</v>
      </c>
      <c r="G2" s="10" t="s">
        <v>133</v>
      </c>
      <c r="H2" s="17" t="s">
        <v>189</v>
      </c>
    </row>
    <row r="3" spans="1:8">
      <c r="A3" s="18" t="s">
        <v>188</v>
      </c>
      <c r="B3" s="10" t="str">
        <f>IF(あなたの所得控除情報!E40="","",あなたの所得控除情報!E40)</f>
        <v/>
      </c>
      <c r="D3" s="10" t="s">
        <v>134</v>
      </c>
      <c r="E3" s="28">
        <v>270000</v>
      </c>
      <c r="F3" s="28">
        <v>260000</v>
      </c>
      <c r="G3" s="28">
        <f>E3-F3</f>
        <v>10000</v>
      </c>
      <c r="H3" s="10">
        <f ca="1">IF(AND(B3&lt;&gt;"",B4&lt;=750000,B5&lt;=100000)=TRUE,1,0)</f>
        <v>0</v>
      </c>
    </row>
    <row r="4" spans="1:8">
      <c r="A4" s="18" t="s">
        <v>12</v>
      </c>
      <c r="B4" s="11">
        <f ca="1">申告計算!B8</f>
        <v>0</v>
      </c>
    </row>
    <row r="5" spans="1:8">
      <c r="A5" s="18" t="s">
        <v>187</v>
      </c>
      <c r="B5" s="11">
        <f ca="1">申告計算!B4+申告計算!B5</f>
        <v>0</v>
      </c>
      <c r="D5" s="10"/>
      <c r="E5" s="10" t="s">
        <v>70</v>
      </c>
      <c r="F5" s="10" t="s">
        <v>71</v>
      </c>
      <c r="G5" s="10" t="s">
        <v>133</v>
      </c>
    </row>
    <row r="6" spans="1:8">
      <c r="D6" s="10" t="s">
        <v>134</v>
      </c>
      <c r="E6" s="14">
        <f ca="1">E3*$H3</f>
        <v>0</v>
      </c>
      <c r="F6" s="14">
        <f t="shared" ref="F6:G6" ca="1" si="0">F3*$H3</f>
        <v>0</v>
      </c>
      <c r="G6" s="14">
        <f t="shared" ca="1" si="0"/>
        <v>0</v>
      </c>
    </row>
  </sheetData>
  <sheetProtection sheet="1" objects="1" scenarios="1"/>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94DF-4DBF-408E-99EB-18D2A29652BA}">
  <sheetPr>
    <tabColor theme="4" tint="0.59999389629810485"/>
  </sheetPr>
  <dimension ref="A1:R57"/>
  <sheetViews>
    <sheetView workbookViewId="0">
      <selection activeCell="B13" sqref="B13"/>
    </sheetView>
  </sheetViews>
  <sheetFormatPr defaultRowHeight="13.5"/>
  <cols>
    <col min="1" max="2" width="12.5" customWidth="1"/>
    <col min="3" max="3" width="2.5" customWidth="1"/>
    <col min="4" max="4" width="5.25" bestFit="1" customWidth="1"/>
    <col min="5" max="5" width="15" customWidth="1"/>
    <col min="6" max="6" width="2.5" customWidth="1"/>
    <col min="7" max="10" width="12.5" customWidth="1"/>
    <col min="11" max="11" width="2.5" customWidth="1"/>
    <col min="12" max="12" width="5.25" bestFit="1" customWidth="1"/>
    <col min="13" max="13" width="15" customWidth="1"/>
    <col min="14" max="14" width="2.5" customWidth="1"/>
    <col min="15" max="15" width="7.5" customWidth="1"/>
    <col min="16" max="18" width="11.25" customWidth="1"/>
    <col min="19" max="19" width="2.5" customWidth="1"/>
    <col min="20" max="23" width="12.5" customWidth="1"/>
  </cols>
  <sheetData>
    <row r="1" spans="1:18">
      <c r="A1" t="s">
        <v>156</v>
      </c>
      <c r="D1" t="s">
        <v>80</v>
      </c>
      <c r="G1" t="s">
        <v>158</v>
      </c>
      <c r="L1" t="s">
        <v>161</v>
      </c>
    </row>
    <row r="2" spans="1:18">
      <c r="A2" s="10" t="s">
        <v>66</v>
      </c>
      <c r="B2" s="10" t="s">
        <v>148</v>
      </c>
      <c r="D2" s="10" t="s">
        <v>78</v>
      </c>
      <c r="E2" s="10" t="s">
        <v>157</v>
      </c>
      <c r="G2" t="s">
        <v>70</v>
      </c>
      <c r="L2" t="s">
        <v>162</v>
      </c>
      <c r="O2" t="s">
        <v>164</v>
      </c>
    </row>
    <row r="3" spans="1:18">
      <c r="A3" s="18" t="s">
        <v>144</v>
      </c>
      <c r="B3" s="14">
        <f ca="1">申告計算!B8</f>
        <v>0</v>
      </c>
      <c r="D3" s="10">
        <f>IF(E3="",IF(AND(E2="",E4="")=TRUE,"",COUNTA(E$3:E3)+1),COUNTA(E$3:E3))</f>
        <v>1</v>
      </c>
      <c r="E3" s="28">
        <v>9000000</v>
      </c>
      <c r="G3" s="10" t="s">
        <v>66</v>
      </c>
      <c r="H3" s="10">
        <v>1</v>
      </c>
      <c r="I3" s="10">
        <v>2</v>
      </c>
      <c r="J3" s="10">
        <v>3</v>
      </c>
      <c r="L3" s="18" t="s">
        <v>78</v>
      </c>
      <c r="M3" s="18" t="s">
        <v>157</v>
      </c>
      <c r="O3" s="18" t="s">
        <v>78</v>
      </c>
      <c r="P3" s="10">
        <v>1</v>
      </c>
      <c r="Q3" s="10">
        <v>2</v>
      </c>
      <c r="R3" s="10">
        <v>3</v>
      </c>
    </row>
    <row r="4" spans="1:18">
      <c r="A4" s="18" t="s">
        <v>145</v>
      </c>
      <c r="B4" s="14" t="str">
        <f>IF(あなたの所得控除情報!E11&lt;&gt;"",あなたの所得控除情報!E11,"")</f>
        <v/>
      </c>
      <c r="D4" s="10">
        <f>IF(E4="",IF(AND(E3="",E5="")=TRUE,"",COUNTA(E$3:E4)+1),COUNTA(E$3:E4))</f>
        <v>2</v>
      </c>
      <c r="E4" s="28">
        <v>9500000</v>
      </c>
      <c r="G4" s="18" t="s">
        <v>153</v>
      </c>
      <c r="H4" s="28">
        <v>380000</v>
      </c>
      <c r="I4" s="28">
        <v>260000</v>
      </c>
      <c r="J4" s="28">
        <v>130000</v>
      </c>
      <c r="L4" s="18">
        <f>IF(M4="","",COUNTA(M$4:M4))</f>
        <v>1</v>
      </c>
      <c r="M4" s="30">
        <v>499999</v>
      </c>
      <c r="O4" s="10">
        <f>L4</f>
        <v>1</v>
      </c>
      <c r="P4" s="28">
        <v>380000</v>
      </c>
      <c r="Q4" s="28">
        <v>260000</v>
      </c>
      <c r="R4" s="28">
        <v>130000</v>
      </c>
    </row>
    <row r="5" spans="1:18">
      <c r="A5" s="18" t="s">
        <v>146</v>
      </c>
      <c r="B5" s="14" t="str">
        <f>IF(あなたの所得控除情報!E12&lt;&gt;"",あなたの所得控除情報!E12,"")</f>
        <v/>
      </c>
      <c r="D5" s="10">
        <f>IF(E5="",IF(AND(E4="",E6="")=TRUE,"",COUNTA(E$3:E5)+1),COUNTA(E$3:E5))</f>
        <v>3</v>
      </c>
      <c r="E5" s="28">
        <v>10000000</v>
      </c>
      <c r="G5" s="18" t="s">
        <v>151</v>
      </c>
      <c r="H5" s="28">
        <v>480000</v>
      </c>
      <c r="I5" s="28">
        <v>320000</v>
      </c>
      <c r="J5" s="28">
        <v>160000</v>
      </c>
      <c r="L5" s="18">
        <f>IF(M5="","",COUNTA(M$4:M5))</f>
        <v>2</v>
      </c>
      <c r="M5" s="30">
        <v>549999</v>
      </c>
      <c r="O5" s="10">
        <f t="shared" ref="O5:O18" si="0">L5</f>
        <v>2</v>
      </c>
      <c r="P5" s="28">
        <v>380000</v>
      </c>
      <c r="Q5" s="28">
        <v>260000</v>
      </c>
      <c r="R5" s="28">
        <v>130000</v>
      </c>
    </row>
    <row r="6" spans="1:18">
      <c r="D6" s="10">
        <f>IF(E6="",IF(AND(E5="",E7="")=TRUE,"",COUNTA(E$3:E6)+1),COUNTA(E$3:E6))</f>
        <v>4</v>
      </c>
      <c r="E6" s="28"/>
      <c r="L6" s="18">
        <f>IF(M6="","",COUNTA(M$4:M6))</f>
        <v>3</v>
      </c>
      <c r="M6" s="30">
        <v>950000</v>
      </c>
      <c r="O6" s="10">
        <f t="shared" si="0"/>
        <v>3</v>
      </c>
      <c r="P6" s="28">
        <v>380000</v>
      </c>
      <c r="Q6" s="28">
        <v>260000</v>
      </c>
      <c r="R6" s="28">
        <v>130000</v>
      </c>
    </row>
    <row r="7" spans="1:18">
      <c r="A7" s="25" t="s">
        <v>149</v>
      </c>
      <c r="D7" s="10" t="str">
        <f>IF(E7="",IF(AND(E6="",E8="")=TRUE,"",COUNTA(E$3:E7)+1),COUNTA(E$3:E7))</f>
        <v/>
      </c>
      <c r="E7" s="28"/>
      <c r="G7" t="s">
        <v>71</v>
      </c>
      <c r="L7" s="18">
        <f>IF(M7="","",COUNTA(M$4:M7))</f>
        <v>4</v>
      </c>
      <c r="M7" s="30">
        <v>1000000</v>
      </c>
      <c r="O7" s="10">
        <f t="shared" si="0"/>
        <v>4</v>
      </c>
      <c r="P7" s="28">
        <v>360000</v>
      </c>
      <c r="Q7" s="28">
        <v>240000</v>
      </c>
      <c r="R7" s="28">
        <v>120000</v>
      </c>
    </row>
    <row r="8" spans="1:18">
      <c r="A8" s="24" t="s">
        <v>66</v>
      </c>
      <c r="B8" s="10" t="s">
        <v>152</v>
      </c>
      <c r="G8" s="10" t="s">
        <v>66</v>
      </c>
      <c r="H8" s="10">
        <v>1</v>
      </c>
      <c r="I8" s="10">
        <v>2</v>
      </c>
      <c r="J8" s="10">
        <v>3</v>
      </c>
      <c r="L8" s="18">
        <f>IF(M8="","",COUNTA(M$4:M8))</f>
        <v>5</v>
      </c>
      <c r="M8" s="30">
        <v>1050000</v>
      </c>
      <c r="O8" s="10">
        <f t="shared" si="0"/>
        <v>5</v>
      </c>
      <c r="P8" s="28">
        <v>310000</v>
      </c>
      <c r="Q8" s="28">
        <v>210000</v>
      </c>
      <c r="R8" s="28">
        <v>110000</v>
      </c>
    </row>
    <row r="9" spans="1:18">
      <c r="A9" s="24" t="s">
        <v>147</v>
      </c>
      <c r="B9" s="10" t="str">
        <f>IF(OR(B4&lt;&gt;"",B5&lt;&gt;"")=TRUE,"有り","")</f>
        <v/>
      </c>
      <c r="G9" s="18" t="s">
        <v>153</v>
      </c>
      <c r="H9" s="28">
        <v>330000</v>
      </c>
      <c r="I9" s="28">
        <v>220000</v>
      </c>
      <c r="J9" s="28">
        <v>110000</v>
      </c>
      <c r="L9" s="18">
        <f>IF(M9="","",COUNTA(M$4:M9))</f>
        <v>6</v>
      </c>
      <c r="M9" s="30">
        <v>1100000</v>
      </c>
      <c r="O9" s="10">
        <f t="shared" si="0"/>
        <v>6</v>
      </c>
      <c r="P9" s="28">
        <v>260000</v>
      </c>
      <c r="Q9" s="28">
        <v>180000</v>
      </c>
      <c r="R9" s="28">
        <v>90000</v>
      </c>
    </row>
    <row r="10" spans="1:18">
      <c r="A10" s="24" t="s">
        <v>145</v>
      </c>
      <c r="B10" s="10" t="str">
        <f>IF(B9="有り",IF(B4="",40,B4),"")</f>
        <v/>
      </c>
      <c r="G10" s="18" t="s">
        <v>151</v>
      </c>
      <c r="H10" s="28">
        <v>380000</v>
      </c>
      <c r="I10" s="28">
        <v>260000</v>
      </c>
      <c r="J10" s="28">
        <v>130000</v>
      </c>
      <c r="L10" s="18">
        <f>IF(M10="","",COUNTA(M$4:M10))</f>
        <v>7</v>
      </c>
      <c r="M10" s="30">
        <v>1150000</v>
      </c>
      <c r="O10" s="10">
        <f t="shared" si="0"/>
        <v>7</v>
      </c>
      <c r="P10" s="28">
        <v>210000</v>
      </c>
      <c r="Q10" s="28">
        <v>140000</v>
      </c>
      <c r="R10" s="28">
        <v>70000</v>
      </c>
    </row>
    <row r="11" spans="1:18">
      <c r="A11" s="24" t="s">
        <v>146</v>
      </c>
      <c r="B11" s="14" t="str">
        <f>IF(B9="有り",IF(B5="",0,B5),"")</f>
        <v/>
      </c>
      <c r="L11" s="18">
        <f>IF(M11="","",COUNTA(M$4:M11))</f>
        <v>8</v>
      </c>
      <c r="M11" s="30">
        <v>1200000</v>
      </c>
      <c r="O11" s="10">
        <f t="shared" si="0"/>
        <v>8</v>
      </c>
      <c r="P11" s="28">
        <v>160000</v>
      </c>
      <c r="Q11" s="28">
        <v>110000</v>
      </c>
      <c r="R11" s="28">
        <v>60000</v>
      </c>
    </row>
    <row r="12" spans="1:18">
      <c r="A12" s="24" t="s">
        <v>150</v>
      </c>
      <c r="B12" s="29" t="str">
        <f ca="1">IF(AND(B9="有り",B3&gt;10000000,B11&lt;=480000)=TRUE,"OK","NG")</f>
        <v>NG</v>
      </c>
      <c r="G12" t="s">
        <v>133</v>
      </c>
      <c r="L12" s="18">
        <f>IF(M12="","",COUNTA(M$4:M12))</f>
        <v>9</v>
      </c>
      <c r="M12" s="30">
        <v>1250000</v>
      </c>
      <c r="O12" s="10">
        <f t="shared" si="0"/>
        <v>9</v>
      </c>
      <c r="P12" s="28">
        <v>110000</v>
      </c>
      <c r="Q12" s="28">
        <v>80000</v>
      </c>
      <c r="R12" s="28">
        <v>40000</v>
      </c>
    </row>
    <row r="13" spans="1:18">
      <c r="A13" s="24" t="s">
        <v>153</v>
      </c>
      <c r="B13" s="29" t="str">
        <f>IF(B$9="有り",IF(AND(B$10&gt;=70,B$11&lt;=480000,B$12="NG")=TRUE,"OK","NG"),"NG")</f>
        <v>NG</v>
      </c>
      <c r="G13" s="10" t="s">
        <v>66</v>
      </c>
      <c r="H13" s="10">
        <v>1</v>
      </c>
      <c r="I13" s="10">
        <v>2</v>
      </c>
      <c r="J13" s="10">
        <v>3</v>
      </c>
      <c r="L13" s="18">
        <f>IF(M13="","",COUNTA(M$4:M13))</f>
        <v>10</v>
      </c>
      <c r="M13" s="30">
        <v>1300000</v>
      </c>
      <c r="O13" s="10">
        <f t="shared" si="0"/>
        <v>10</v>
      </c>
      <c r="P13" s="28">
        <v>60000</v>
      </c>
      <c r="Q13" s="28">
        <v>40000</v>
      </c>
      <c r="R13" s="28">
        <v>20000</v>
      </c>
    </row>
    <row r="14" spans="1:18">
      <c r="A14" s="24" t="s">
        <v>151</v>
      </c>
      <c r="B14" s="29" t="str">
        <f>IF(B$9="有り",IF(AND(B$10&lt;70,B$11&lt;=480000,B$12="NG")=TRUE,"OK","NG"),"NG")</f>
        <v>NG</v>
      </c>
      <c r="G14" s="18" t="s">
        <v>153</v>
      </c>
      <c r="H14" s="28">
        <f>H4-H9</f>
        <v>50000</v>
      </c>
      <c r="I14" s="28">
        <f t="shared" ref="I14:J14" si="1">I4-I9</f>
        <v>40000</v>
      </c>
      <c r="J14" s="28">
        <f t="shared" si="1"/>
        <v>20000</v>
      </c>
      <c r="L14" s="18">
        <f>IF(M14="","",COUNTA(M$4:M14))</f>
        <v>11</v>
      </c>
      <c r="M14" s="30">
        <v>1330000</v>
      </c>
      <c r="O14" s="10">
        <f t="shared" si="0"/>
        <v>11</v>
      </c>
      <c r="P14" s="28">
        <v>30000</v>
      </c>
      <c r="Q14" s="28">
        <v>20000</v>
      </c>
      <c r="R14" s="28">
        <v>10000</v>
      </c>
    </row>
    <row r="15" spans="1:18">
      <c r="A15" s="24" t="s">
        <v>154</v>
      </c>
      <c r="B15" s="29" t="str">
        <f>IF(B$9="有り",IF(AND(B$11&gt;480000,B$11&lt;=1330000,B3&lt;10000000)=TRUE,"OK","NG"),"NG")</f>
        <v>NG</v>
      </c>
      <c r="G15" s="18" t="s">
        <v>151</v>
      </c>
      <c r="H15" s="28">
        <f>H5-H10</f>
        <v>100000</v>
      </c>
      <c r="I15" s="28">
        <f t="shared" ref="I15:J15" si="2">I5-I10</f>
        <v>60000</v>
      </c>
      <c r="J15" s="28">
        <f t="shared" si="2"/>
        <v>30000</v>
      </c>
      <c r="L15" s="18" t="str">
        <f>IF(M15="","",COUNTA(M$4:M15))</f>
        <v/>
      </c>
      <c r="M15" s="30"/>
      <c r="O15" s="10" t="str">
        <f t="shared" si="0"/>
        <v/>
      </c>
      <c r="P15" s="28"/>
      <c r="Q15" s="28"/>
      <c r="R15" s="28"/>
    </row>
    <row r="16" spans="1:18">
      <c r="A16" s="24" t="s">
        <v>80</v>
      </c>
      <c r="B16" s="11">
        <f ca="1">MAX(D3:D7)-COUNTIF(E3:E7,"&gt;="&amp;B3)</f>
        <v>1</v>
      </c>
      <c r="L16" s="18" t="str">
        <f>IF(M16="","",COUNTA(M$4:M16))</f>
        <v/>
      </c>
      <c r="M16" s="30"/>
      <c r="O16" s="10" t="str">
        <f t="shared" si="0"/>
        <v/>
      </c>
      <c r="P16" s="28"/>
      <c r="Q16" s="28"/>
      <c r="R16" s="28"/>
    </row>
    <row r="17" spans="1:18">
      <c r="A17" s="24" t="s">
        <v>160</v>
      </c>
      <c r="B17" s="10">
        <f ca="1">IF(COUNTIF(B12:B14,"OK")&gt;0,1,0)</f>
        <v>0</v>
      </c>
      <c r="G17" s="10"/>
      <c r="H17" s="10" t="s">
        <v>70</v>
      </c>
      <c r="I17" s="10" t="s">
        <v>71</v>
      </c>
      <c r="J17" s="10" t="s">
        <v>159</v>
      </c>
      <c r="L17" s="18" t="str">
        <f>IF(M17="","",COUNTA(M$4:M17))</f>
        <v/>
      </c>
      <c r="M17" s="30"/>
      <c r="O17" s="10" t="str">
        <f t="shared" si="0"/>
        <v/>
      </c>
      <c r="P17" s="28"/>
      <c r="Q17" s="28"/>
      <c r="R17" s="28"/>
    </row>
    <row r="18" spans="1:18">
      <c r="A18" s="24" t="s">
        <v>163</v>
      </c>
      <c r="B18" s="11">
        <f>MAX(L4:L18)-COUNTIF(M4:M18,"&gt;="&amp;B11)+1</f>
        <v>12</v>
      </c>
      <c r="G18" s="10" t="s">
        <v>134</v>
      </c>
      <c r="H18" s="14">
        <f>IF(OR($B13="OK",$B14="OK")=TRUE,INDEX($H4:$J5,IF($B13="OK",2,1),$B16),0)</f>
        <v>0</v>
      </c>
      <c r="I18" s="14">
        <f>IF(OR($B13="OK",$B14="OK")=TRUE,INDEX($H9:$J10,IF($B13="OK",2,1),$B16),0)</f>
        <v>0</v>
      </c>
      <c r="J18" s="14">
        <f>IF(OR($B13="OK",$B14="OK")=TRUE,INDEX($H14:$J15,IF($B13="OK",2,1),$B16),0)</f>
        <v>0</v>
      </c>
      <c r="L18" s="18" t="str">
        <f>IF(M18="","",COUNTA(M$4:M18))</f>
        <v/>
      </c>
      <c r="M18" s="30"/>
      <c r="O18" s="10" t="str">
        <f t="shared" si="0"/>
        <v/>
      </c>
      <c r="P18" s="28"/>
      <c r="Q18" s="28"/>
      <c r="R18" s="28"/>
    </row>
    <row r="20" spans="1:18">
      <c r="O20" t="s">
        <v>165</v>
      </c>
    </row>
    <row r="21" spans="1:18">
      <c r="O21" s="18" t="s">
        <v>78</v>
      </c>
      <c r="P21" s="10">
        <f>P3</f>
        <v>1</v>
      </c>
      <c r="Q21" s="10">
        <f t="shared" ref="Q21:R21" si="3">Q3</f>
        <v>2</v>
      </c>
      <c r="R21" s="10">
        <f t="shared" si="3"/>
        <v>3</v>
      </c>
    </row>
    <row r="22" spans="1:18">
      <c r="O22" s="10">
        <f>L4</f>
        <v>1</v>
      </c>
      <c r="P22" s="28">
        <v>330000</v>
      </c>
      <c r="Q22" s="28">
        <v>220000</v>
      </c>
      <c r="R22" s="28">
        <v>110000</v>
      </c>
    </row>
    <row r="23" spans="1:18">
      <c r="O23" s="10">
        <f t="shared" ref="O23:O36" si="4">L5</f>
        <v>2</v>
      </c>
      <c r="P23" s="28">
        <v>330000</v>
      </c>
      <c r="Q23" s="28">
        <v>220000</v>
      </c>
      <c r="R23" s="28">
        <v>110000</v>
      </c>
    </row>
    <row r="24" spans="1:18">
      <c r="O24" s="10">
        <f t="shared" si="4"/>
        <v>3</v>
      </c>
      <c r="P24" s="28">
        <v>330000</v>
      </c>
      <c r="Q24" s="28">
        <v>220000</v>
      </c>
      <c r="R24" s="28">
        <v>110000</v>
      </c>
    </row>
    <row r="25" spans="1:18">
      <c r="O25" s="10">
        <f t="shared" si="4"/>
        <v>4</v>
      </c>
      <c r="P25" s="28">
        <v>330000</v>
      </c>
      <c r="Q25" s="28">
        <v>220000</v>
      </c>
      <c r="R25" s="28">
        <v>110000</v>
      </c>
    </row>
    <row r="26" spans="1:18">
      <c r="O26" s="10">
        <f t="shared" si="4"/>
        <v>5</v>
      </c>
      <c r="P26" s="28">
        <v>310000</v>
      </c>
      <c r="Q26" s="28">
        <v>210000</v>
      </c>
      <c r="R26" s="28">
        <v>110000</v>
      </c>
    </row>
    <row r="27" spans="1:18">
      <c r="O27" s="10">
        <f t="shared" si="4"/>
        <v>6</v>
      </c>
      <c r="P27" s="28">
        <v>260000</v>
      </c>
      <c r="Q27" s="28">
        <v>180000</v>
      </c>
      <c r="R27" s="28">
        <v>90000</v>
      </c>
    </row>
    <row r="28" spans="1:18">
      <c r="O28" s="10">
        <f t="shared" si="4"/>
        <v>7</v>
      </c>
      <c r="P28" s="28">
        <v>210000</v>
      </c>
      <c r="Q28" s="28">
        <v>140000</v>
      </c>
      <c r="R28" s="28">
        <v>70000</v>
      </c>
    </row>
    <row r="29" spans="1:18">
      <c r="O29" s="10">
        <f t="shared" si="4"/>
        <v>8</v>
      </c>
      <c r="P29" s="28">
        <v>160000</v>
      </c>
      <c r="Q29" s="28">
        <v>110000</v>
      </c>
      <c r="R29" s="28">
        <v>60000</v>
      </c>
    </row>
    <row r="30" spans="1:18">
      <c r="O30" s="10">
        <f t="shared" si="4"/>
        <v>9</v>
      </c>
      <c r="P30" s="28">
        <v>110000</v>
      </c>
      <c r="Q30" s="28">
        <v>80000</v>
      </c>
      <c r="R30" s="28">
        <v>40000</v>
      </c>
    </row>
    <row r="31" spans="1:18">
      <c r="O31" s="10">
        <f t="shared" si="4"/>
        <v>10</v>
      </c>
      <c r="P31" s="28">
        <v>60000</v>
      </c>
      <c r="Q31" s="28">
        <v>40000</v>
      </c>
      <c r="R31" s="28">
        <v>20000</v>
      </c>
    </row>
    <row r="32" spans="1:18">
      <c r="O32" s="10">
        <f t="shared" si="4"/>
        <v>11</v>
      </c>
      <c r="P32" s="28">
        <v>30000</v>
      </c>
      <c r="Q32" s="28">
        <v>20000</v>
      </c>
      <c r="R32" s="28">
        <v>10000</v>
      </c>
    </row>
    <row r="33" spans="15:18">
      <c r="O33" s="10" t="str">
        <f t="shared" si="4"/>
        <v/>
      </c>
      <c r="P33" s="28"/>
      <c r="Q33" s="28"/>
      <c r="R33" s="28"/>
    </row>
    <row r="34" spans="15:18">
      <c r="O34" s="10" t="str">
        <f t="shared" si="4"/>
        <v/>
      </c>
      <c r="P34" s="28"/>
      <c r="Q34" s="28"/>
      <c r="R34" s="28"/>
    </row>
    <row r="35" spans="15:18">
      <c r="O35" s="10" t="str">
        <f t="shared" si="4"/>
        <v/>
      </c>
      <c r="P35" s="28"/>
      <c r="Q35" s="28"/>
      <c r="R35" s="28"/>
    </row>
    <row r="36" spans="15:18">
      <c r="O36" s="10" t="str">
        <f t="shared" si="4"/>
        <v/>
      </c>
      <c r="P36" s="28"/>
      <c r="Q36" s="28"/>
      <c r="R36" s="28"/>
    </row>
    <row r="37" spans="15:18">
      <c r="O37" s="16"/>
      <c r="P37" s="26"/>
      <c r="Q37" s="26"/>
      <c r="R37" s="26"/>
    </row>
    <row r="38" spans="15:18">
      <c r="O38" t="s">
        <v>159</v>
      </c>
    </row>
    <row r="39" spans="15:18">
      <c r="O39" s="10"/>
      <c r="P39" s="10">
        <f>P3</f>
        <v>1</v>
      </c>
      <c r="Q39" s="10">
        <f t="shared" ref="Q39:R39" si="5">Q3</f>
        <v>2</v>
      </c>
      <c r="R39" s="10">
        <f t="shared" si="5"/>
        <v>3</v>
      </c>
    </row>
    <row r="40" spans="15:18">
      <c r="O40" s="10">
        <f>L4</f>
        <v>1</v>
      </c>
      <c r="P40" s="31">
        <f>P4-P22</f>
        <v>50000</v>
      </c>
      <c r="Q40" s="31">
        <f t="shared" ref="Q40:R40" si="6">Q4-Q22</f>
        <v>40000</v>
      </c>
      <c r="R40" s="31">
        <f t="shared" si="6"/>
        <v>20000</v>
      </c>
    </row>
    <row r="41" spans="15:18">
      <c r="O41" s="10">
        <f t="shared" ref="O41:O54" si="7">L5</f>
        <v>2</v>
      </c>
      <c r="P41" s="31">
        <v>30000</v>
      </c>
      <c r="Q41" s="31">
        <v>20000</v>
      </c>
      <c r="R41" s="31">
        <v>10000</v>
      </c>
    </row>
    <row r="42" spans="15:18">
      <c r="O42" s="10">
        <f t="shared" si="7"/>
        <v>3</v>
      </c>
      <c r="P42" s="31">
        <v>0</v>
      </c>
      <c r="Q42" s="31">
        <v>0</v>
      </c>
      <c r="R42" s="31">
        <v>0</v>
      </c>
    </row>
    <row r="43" spans="15:18">
      <c r="O43" s="10">
        <f t="shared" si="7"/>
        <v>4</v>
      </c>
      <c r="P43" s="31">
        <v>0</v>
      </c>
      <c r="Q43" s="31">
        <v>0</v>
      </c>
      <c r="R43" s="31">
        <v>0</v>
      </c>
    </row>
    <row r="44" spans="15:18">
      <c r="O44" s="10">
        <f t="shared" si="7"/>
        <v>5</v>
      </c>
      <c r="P44" s="31">
        <v>0</v>
      </c>
      <c r="Q44" s="31">
        <v>0</v>
      </c>
      <c r="R44" s="31">
        <v>0</v>
      </c>
    </row>
    <row r="45" spans="15:18">
      <c r="O45" s="10">
        <f t="shared" si="7"/>
        <v>6</v>
      </c>
      <c r="P45" s="31">
        <v>0</v>
      </c>
      <c r="Q45" s="31">
        <v>0</v>
      </c>
      <c r="R45" s="31">
        <v>0</v>
      </c>
    </row>
    <row r="46" spans="15:18">
      <c r="O46" s="10">
        <f t="shared" si="7"/>
        <v>7</v>
      </c>
      <c r="P46" s="31">
        <v>0</v>
      </c>
      <c r="Q46" s="31">
        <v>0</v>
      </c>
      <c r="R46" s="31">
        <v>0</v>
      </c>
    </row>
    <row r="47" spans="15:18">
      <c r="O47" s="10">
        <f t="shared" si="7"/>
        <v>8</v>
      </c>
      <c r="P47" s="31">
        <v>0</v>
      </c>
      <c r="Q47" s="31">
        <v>0</v>
      </c>
      <c r="R47" s="31">
        <v>0</v>
      </c>
    </row>
    <row r="48" spans="15:18">
      <c r="O48" s="10">
        <f t="shared" si="7"/>
        <v>9</v>
      </c>
      <c r="P48" s="31">
        <v>0</v>
      </c>
      <c r="Q48" s="31">
        <v>0</v>
      </c>
      <c r="R48" s="31">
        <v>0</v>
      </c>
    </row>
    <row r="49" spans="15:18">
      <c r="O49" s="10">
        <f t="shared" si="7"/>
        <v>10</v>
      </c>
      <c r="P49" s="31">
        <v>0</v>
      </c>
      <c r="Q49" s="31">
        <v>0</v>
      </c>
      <c r="R49" s="31">
        <v>0</v>
      </c>
    </row>
    <row r="50" spans="15:18">
      <c r="O50" s="10">
        <f t="shared" si="7"/>
        <v>11</v>
      </c>
      <c r="P50" s="31">
        <v>0</v>
      </c>
      <c r="Q50" s="31">
        <v>0</v>
      </c>
      <c r="R50" s="31">
        <v>0</v>
      </c>
    </row>
    <row r="51" spans="15:18">
      <c r="O51" s="10" t="str">
        <f t="shared" si="7"/>
        <v/>
      </c>
      <c r="P51" s="31"/>
      <c r="Q51" s="31"/>
      <c r="R51" s="31"/>
    </row>
    <row r="52" spans="15:18">
      <c r="O52" s="10" t="str">
        <f t="shared" si="7"/>
        <v/>
      </c>
      <c r="P52" s="31"/>
      <c r="Q52" s="31"/>
      <c r="R52" s="31"/>
    </row>
    <row r="53" spans="15:18">
      <c r="O53" s="10" t="str">
        <f t="shared" si="7"/>
        <v/>
      </c>
      <c r="P53" s="31"/>
      <c r="Q53" s="31"/>
      <c r="R53" s="31"/>
    </row>
    <row r="54" spans="15:18">
      <c r="O54" s="10" t="str">
        <f t="shared" si="7"/>
        <v/>
      </c>
      <c r="P54" s="31"/>
      <c r="Q54" s="31"/>
      <c r="R54" s="31"/>
    </row>
    <row r="56" spans="15:18">
      <c r="O56" s="18"/>
      <c r="P56" s="18" t="s">
        <v>70</v>
      </c>
      <c r="Q56" s="18" t="s">
        <v>71</v>
      </c>
      <c r="R56" s="18" t="s">
        <v>159</v>
      </c>
    </row>
    <row r="57" spans="15:18">
      <c r="O57" s="18" t="s">
        <v>134</v>
      </c>
      <c r="P57" s="27">
        <f>IF($B15="OK",INDEX($P4:$R18,$B18,$B16),0)</f>
        <v>0</v>
      </c>
      <c r="Q57" s="27">
        <f>IF($B15="OK",INDEX($P22:$R36,$B18,$B16),0)</f>
        <v>0</v>
      </c>
      <c r="R57" s="27">
        <f>IF($B15="OK",INDEX($P40:$R54,$B18,$B16),0)</f>
        <v>0</v>
      </c>
    </row>
  </sheetData>
  <sheetProtection sheet="1" objects="1" scenarios="1"/>
  <phoneticPr fontId="4"/>
  <pageMargins left="0.7" right="0.7" top="0.75" bottom="0.75" header="0.3" footer="0.3"/>
  <pageSetup paperSize="9" orientation="portrait" verticalDpi="0" r:id="rId1"/>
  <ignoredErrors>
    <ignoredError sqref="L5:L1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BCA8-50C2-49DB-A221-D493A4087DC0}">
  <sheetPr>
    <tabColor theme="4" tint="0.59999389629810485"/>
  </sheetPr>
  <dimension ref="A1:H11"/>
  <sheetViews>
    <sheetView workbookViewId="0">
      <selection activeCell="C4" sqref="C4:E9"/>
    </sheetView>
  </sheetViews>
  <sheetFormatPr defaultRowHeight="13.5"/>
  <cols>
    <col min="1" max="1" width="12.5" customWidth="1"/>
    <col min="2" max="8" width="11.25" customWidth="1"/>
  </cols>
  <sheetData>
    <row r="1" spans="1:8">
      <c r="A1" t="s">
        <v>168</v>
      </c>
    </row>
    <row r="2" spans="1:8">
      <c r="A2" s="110" t="s">
        <v>136</v>
      </c>
      <c r="B2" s="111" t="s">
        <v>137</v>
      </c>
      <c r="C2" s="10" t="s">
        <v>138</v>
      </c>
      <c r="D2" s="10"/>
      <c r="E2" s="103" t="s">
        <v>139</v>
      </c>
      <c r="F2" s="10" t="s">
        <v>134</v>
      </c>
      <c r="G2" s="10"/>
      <c r="H2" s="10"/>
    </row>
    <row r="3" spans="1:8">
      <c r="A3" s="110"/>
      <c r="B3" s="111"/>
      <c r="C3" s="10" t="s">
        <v>70</v>
      </c>
      <c r="D3" s="10" t="s">
        <v>71</v>
      </c>
      <c r="E3" s="111"/>
      <c r="F3" s="10" t="s">
        <v>70</v>
      </c>
      <c r="G3" s="10" t="s">
        <v>71</v>
      </c>
      <c r="H3" s="10"/>
    </row>
    <row r="4" spans="1:8">
      <c r="A4" s="18" t="s">
        <v>14</v>
      </c>
      <c r="B4" s="14">
        <f>あなたの所得控除情報!E13</f>
        <v>0</v>
      </c>
      <c r="C4" s="28">
        <v>0</v>
      </c>
      <c r="D4" s="28">
        <v>0</v>
      </c>
      <c r="E4" s="28">
        <f>C4-D4</f>
        <v>0</v>
      </c>
      <c r="F4" s="10">
        <f>$B4*C4</f>
        <v>0</v>
      </c>
      <c r="G4" s="10">
        <f>$B4*D4</f>
        <v>0</v>
      </c>
      <c r="H4" s="10">
        <f>$B4*E4</f>
        <v>0</v>
      </c>
    </row>
    <row r="5" spans="1:8">
      <c r="A5" s="18" t="s">
        <v>16</v>
      </c>
      <c r="B5" s="14">
        <f>あなたの所得控除情報!E14</f>
        <v>0</v>
      </c>
      <c r="C5" s="28">
        <v>380000</v>
      </c>
      <c r="D5" s="28">
        <v>330000</v>
      </c>
      <c r="E5" s="28">
        <f t="shared" ref="E5:E9" si="0">C5-D5</f>
        <v>50000</v>
      </c>
      <c r="F5" s="10">
        <f t="shared" ref="F5:F9" si="1">$B5*C5</f>
        <v>0</v>
      </c>
      <c r="G5" s="10">
        <f t="shared" ref="G5:H9" si="2">$B5*D5</f>
        <v>0</v>
      </c>
      <c r="H5" s="10">
        <f t="shared" si="2"/>
        <v>0</v>
      </c>
    </row>
    <row r="6" spans="1:8">
      <c r="A6" s="18" t="s">
        <v>17</v>
      </c>
      <c r="B6" s="14">
        <f>あなたの所得控除情報!E15</f>
        <v>0</v>
      </c>
      <c r="C6" s="28">
        <v>630000</v>
      </c>
      <c r="D6" s="28">
        <v>450000</v>
      </c>
      <c r="E6" s="28">
        <f t="shared" si="0"/>
        <v>180000</v>
      </c>
      <c r="F6" s="10">
        <f t="shared" si="1"/>
        <v>0</v>
      </c>
      <c r="G6" s="10">
        <f t="shared" si="2"/>
        <v>0</v>
      </c>
      <c r="H6" s="10">
        <f t="shared" si="2"/>
        <v>0</v>
      </c>
    </row>
    <row r="7" spans="1:8">
      <c r="A7" s="18" t="s">
        <v>18</v>
      </c>
      <c r="B7" s="14">
        <f>あなたの所得控除情報!E16</f>
        <v>0</v>
      </c>
      <c r="C7" s="28">
        <v>380000</v>
      </c>
      <c r="D7" s="28">
        <v>330000</v>
      </c>
      <c r="E7" s="28">
        <f t="shared" si="0"/>
        <v>50000</v>
      </c>
      <c r="F7" s="10">
        <f t="shared" si="1"/>
        <v>0</v>
      </c>
      <c r="G7" s="10">
        <f t="shared" si="2"/>
        <v>0</v>
      </c>
      <c r="H7" s="10">
        <f t="shared" si="2"/>
        <v>0</v>
      </c>
    </row>
    <row r="8" spans="1:8">
      <c r="A8" s="18" t="s">
        <v>166</v>
      </c>
      <c r="B8" s="14">
        <f>あなたの所得控除情報!E17</f>
        <v>0</v>
      </c>
      <c r="C8" s="28">
        <v>580000</v>
      </c>
      <c r="D8" s="28">
        <v>450000</v>
      </c>
      <c r="E8" s="28">
        <f t="shared" si="0"/>
        <v>130000</v>
      </c>
      <c r="F8" s="10">
        <f t="shared" si="1"/>
        <v>0</v>
      </c>
      <c r="G8" s="10">
        <f t="shared" si="2"/>
        <v>0</v>
      </c>
      <c r="H8" s="10">
        <f t="shared" si="2"/>
        <v>0</v>
      </c>
    </row>
    <row r="9" spans="1:8">
      <c r="A9" s="18" t="s">
        <v>167</v>
      </c>
      <c r="B9" s="14">
        <f>あなたの所得控除情報!E18</f>
        <v>0</v>
      </c>
      <c r="C9" s="28">
        <v>480000</v>
      </c>
      <c r="D9" s="28">
        <v>380000</v>
      </c>
      <c r="E9" s="28">
        <f t="shared" si="0"/>
        <v>100000</v>
      </c>
      <c r="F9" s="10">
        <f t="shared" si="1"/>
        <v>0</v>
      </c>
      <c r="G9" s="10">
        <f t="shared" si="2"/>
        <v>0</v>
      </c>
      <c r="H9" s="10">
        <f t="shared" si="2"/>
        <v>0</v>
      </c>
    </row>
    <row r="11" spans="1:8">
      <c r="E11" s="10" t="s">
        <v>140</v>
      </c>
      <c r="F11" s="10">
        <f>SUM(F4:F9)</f>
        <v>0</v>
      </c>
      <c r="G11" s="10">
        <f t="shared" ref="G11:H11" si="3">SUM(G4:G9)</f>
        <v>0</v>
      </c>
      <c r="H11" s="10">
        <f t="shared" si="3"/>
        <v>0</v>
      </c>
    </row>
  </sheetData>
  <sheetProtection sheet="1" objects="1" scenarios="1"/>
  <mergeCells count="3">
    <mergeCell ref="E2:E3"/>
    <mergeCell ref="B2:B3"/>
    <mergeCell ref="A2:A3"/>
  </mergeCells>
  <phoneticPr fontId="4"/>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5222-D0C6-4D89-8956-BF58830599D1}">
  <sheetPr>
    <tabColor theme="4" tint="0.59999389629810485"/>
  </sheetPr>
  <dimension ref="A1:J10"/>
  <sheetViews>
    <sheetView workbookViewId="0">
      <selection activeCell="B11" sqref="B11"/>
    </sheetView>
  </sheetViews>
  <sheetFormatPr defaultRowHeight="13.5"/>
  <cols>
    <col min="1" max="1" width="15" customWidth="1"/>
    <col min="2" max="2" width="12.5" customWidth="1"/>
    <col min="3" max="3" width="2.5" customWidth="1"/>
    <col min="4" max="4" width="5.25" bestFit="1" customWidth="1"/>
    <col min="5" max="5" width="15" customWidth="1"/>
    <col min="7" max="7" width="8.75" customWidth="1"/>
    <col min="8" max="10" width="12.5" customWidth="1"/>
  </cols>
  <sheetData>
    <row r="1" spans="1:10">
      <c r="D1" t="s">
        <v>162</v>
      </c>
      <c r="G1" t="s">
        <v>169</v>
      </c>
    </row>
    <row r="2" spans="1:10">
      <c r="A2" s="10" t="s">
        <v>66</v>
      </c>
      <c r="B2" s="10" t="s">
        <v>148</v>
      </c>
      <c r="D2" s="10" t="s">
        <v>78</v>
      </c>
      <c r="E2" s="10" t="s">
        <v>157</v>
      </c>
      <c r="G2" s="10" t="s">
        <v>78</v>
      </c>
      <c r="H2" s="10" t="s">
        <v>70</v>
      </c>
      <c r="I2" s="10" t="s">
        <v>71</v>
      </c>
      <c r="J2" s="10" t="s">
        <v>159</v>
      </c>
    </row>
    <row r="3" spans="1:10">
      <c r="A3" s="32" t="s">
        <v>144</v>
      </c>
      <c r="B3" s="11">
        <f ca="1">申告計算!B8</f>
        <v>0</v>
      </c>
      <c r="D3" s="10">
        <f>IF(E3="","",COUNTA(E$3:E3))</f>
        <v>1</v>
      </c>
      <c r="E3" s="28">
        <v>24000000</v>
      </c>
      <c r="G3" s="10">
        <f>D3</f>
        <v>1</v>
      </c>
      <c r="H3" s="28">
        <v>480000</v>
      </c>
      <c r="I3" s="28">
        <v>430000</v>
      </c>
      <c r="J3" s="28">
        <v>50000</v>
      </c>
    </row>
    <row r="4" spans="1:10">
      <c r="A4" s="32" t="s">
        <v>78</v>
      </c>
      <c r="B4" s="11">
        <f ca="1">MAX(D3:D7)-COUNTIF(E3:E7,"&gt;="&amp;B3)+1</f>
        <v>1</v>
      </c>
      <c r="D4" s="10">
        <f>IF(E4="","",COUNTA(E$3:E4))</f>
        <v>2</v>
      </c>
      <c r="E4" s="28">
        <v>24500000</v>
      </c>
      <c r="G4" s="10">
        <f t="shared" ref="G4:G7" si="0">D4</f>
        <v>2</v>
      </c>
      <c r="H4" s="28">
        <v>320000</v>
      </c>
      <c r="I4" s="28">
        <v>290000</v>
      </c>
      <c r="J4" s="28">
        <v>50000</v>
      </c>
    </row>
    <row r="5" spans="1:10">
      <c r="D5" s="10">
        <f>IF(E5="","",COUNTA(E$3:E5))</f>
        <v>3</v>
      </c>
      <c r="E5" s="28">
        <v>25000000</v>
      </c>
      <c r="G5" s="10">
        <f t="shared" si="0"/>
        <v>3</v>
      </c>
      <c r="H5" s="28">
        <v>160000</v>
      </c>
      <c r="I5" s="28">
        <v>150000</v>
      </c>
      <c r="J5" s="28">
        <v>50000</v>
      </c>
    </row>
    <row r="6" spans="1:10">
      <c r="D6" s="10" t="str">
        <f>IF(E6="","",COUNTA(E$3:E6))</f>
        <v/>
      </c>
      <c r="E6" s="28"/>
      <c r="G6" s="10" t="str">
        <f t="shared" si="0"/>
        <v/>
      </c>
      <c r="H6" s="28"/>
      <c r="I6" s="28"/>
      <c r="J6" s="28"/>
    </row>
    <row r="7" spans="1:10">
      <c r="D7" s="10" t="str">
        <f>IF(E7="","",COUNTA(E$3:E7))</f>
        <v/>
      </c>
      <c r="E7" s="28"/>
      <c r="G7" s="10" t="str">
        <f t="shared" si="0"/>
        <v/>
      </c>
      <c r="H7" s="28"/>
      <c r="I7" s="28"/>
      <c r="J7" s="28"/>
    </row>
    <row r="9" spans="1:10">
      <c r="G9" s="18"/>
      <c r="H9" s="18" t="s">
        <v>70</v>
      </c>
      <c r="I9" s="18" t="s">
        <v>71</v>
      </c>
      <c r="J9" s="18" t="s">
        <v>159</v>
      </c>
    </row>
    <row r="10" spans="1:10">
      <c r="G10" s="18" t="s">
        <v>134</v>
      </c>
      <c r="H10" s="27">
        <f ca="1">IF(MAX($D3:$D7)&lt;$B4,0,INDEX(H3:H7,$B4,1))</f>
        <v>480000</v>
      </c>
      <c r="I10" s="27">
        <f t="shared" ref="I10:J10" ca="1" si="1">IF(MAX($D3:$D7)&lt;$B4,0,INDEX(I3:I7,$B4,1))</f>
        <v>430000</v>
      </c>
      <c r="J10" s="27">
        <f t="shared" ca="1" si="1"/>
        <v>50000</v>
      </c>
    </row>
  </sheetData>
  <sheetProtection sheet="1" objects="1" scenarios="1"/>
  <phoneticPr fontId="4"/>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02F1E-68DC-4502-A54D-81603D668FFD}">
  <sheetPr>
    <tabColor theme="4" tint="0.59999389629810485"/>
  </sheetPr>
  <dimension ref="A1:M9"/>
  <sheetViews>
    <sheetView workbookViewId="0">
      <selection activeCell="D18" sqref="D18"/>
    </sheetView>
  </sheetViews>
  <sheetFormatPr defaultRowHeight="13.5"/>
  <cols>
    <col min="1" max="2" width="12.5" customWidth="1"/>
    <col min="3" max="3" width="2.5" customWidth="1"/>
    <col min="4" max="4" width="5.25" bestFit="1" customWidth="1"/>
    <col min="5" max="5" width="12.5" customWidth="1"/>
    <col min="6" max="6" width="2.5" customWidth="1"/>
    <col min="7" max="7" width="5.25" bestFit="1" customWidth="1"/>
    <col min="8" max="8" width="12.5" customWidth="1"/>
    <col min="9" max="9" width="2.5" customWidth="1"/>
    <col min="11" max="13" width="12.5" customWidth="1"/>
  </cols>
  <sheetData>
    <row r="1" spans="1:13">
      <c r="D1" t="s">
        <v>173</v>
      </c>
      <c r="G1" t="s">
        <v>172</v>
      </c>
      <c r="J1" s="18"/>
      <c r="K1" s="18" t="s">
        <v>70</v>
      </c>
      <c r="L1" s="18" t="s">
        <v>71</v>
      </c>
      <c r="M1" s="18" t="s">
        <v>174</v>
      </c>
    </row>
    <row r="2" spans="1:13">
      <c r="A2" s="18" t="s">
        <v>66</v>
      </c>
      <c r="B2" s="18" t="s">
        <v>148</v>
      </c>
      <c r="D2" s="10" t="s">
        <v>82</v>
      </c>
      <c r="E2" s="10" t="s">
        <v>152</v>
      </c>
      <c r="G2" s="10" t="s">
        <v>82</v>
      </c>
      <c r="H2" s="10" t="s">
        <v>152</v>
      </c>
      <c r="J2" s="18" t="s">
        <v>134</v>
      </c>
      <c r="K2" s="20">
        <f ca="1">MAX(E9,H6)</f>
        <v>0</v>
      </c>
      <c r="L2" s="20">
        <f ca="1">K2</f>
        <v>0</v>
      </c>
      <c r="M2" s="18">
        <v>0</v>
      </c>
    </row>
    <row r="3" spans="1:13">
      <c r="A3" s="18" t="s">
        <v>144</v>
      </c>
      <c r="B3" s="20">
        <f ca="1">申告計算!B8</f>
        <v>0</v>
      </c>
      <c r="D3" s="10" t="s">
        <v>83</v>
      </c>
      <c r="E3" s="28">
        <f>B4</f>
        <v>0</v>
      </c>
      <c r="G3" s="10" t="s">
        <v>83</v>
      </c>
      <c r="H3" s="28">
        <f>B6</f>
        <v>0</v>
      </c>
    </row>
    <row r="4" spans="1:13">
      <c r="A4" s="18" t="s">
        <v>52</v>
      </c>
      <c r="B4" s="20">
        <f>あなたの所得控除情報!E42</f>
        <v>0</v>
      </c>
      <c r="D4" s="10" t="s">
        <v>84</v>
      </c>
      <c r="E4" s="28">
        <f>B5</f>
        <v>0</v>
      </c>
      <c r="G4" s="10" t="s">
        <v>84</v>
      </c>
      <c r="H4" s="28">
        <f>B7</f>
        <v>0</v>
      </c>
    </row>
    <row r="5" spans="1:13">
      <c r="A5" s="18" t="s">
        <v>171</v>
      </c>
      <c r="B5" s="20">
        <f>あなたの所得控除情報!E43</f>
        <v>0</v>
      </c>
      <c r="D5" s="10" t="s">
        <v>85</v>
      </c>
      <c r="E5" s="28">
        <f>IF(E4&gt;=E3,0,E3-E4)</f>
        <v>0</v>
      </c>
      <c r="G5" s="10" t="s">
        <v>85</v>
      </c>
      <c r="H5" s="28">
        <f>IF(H4&gt;=H3,0,H3-H4)</f>
        <v>0</v>
      </c>
    </row>
    <row r="6" spans="1:13">
      <c r="A6" s="18" t="s">
        <v>172</v>
      </c>
      <c r="B6" s="20">
        <f>あなたの所得控除情報!E44</f>
        <v>0</v>
      </c>
      <c r="D6" s="10" t="s">
        <v>90</v>
      </c>
      <c r="E6" s="28">
        <f ca="1">B3</f>
        <v>0</v>
      </c>
      <c r="G6" s="10" t="s">
        <v>90</v>
      </c>
      <c r="H6" s="28">
        <f>MIN(IF(H5-12000&lt;=0,0,H5-12000),88000)</f>
        <v>0</v>
      </c>
    </row>
    <row r="7" spans="1:13">
      <c r="A7" s="18" t="s">
        <v>171</v>
      </c>
      <c r="B7" s="20">
        <f>あなたの所得控除情報!E45</f>
        <v>0</v>
      </c>
      <c r="D7" s="10" t="s">
        <v>86</v>
      </c>
      <c r="E7" s="28">
        <f ca="1">ROUNDDOWN(E6*0.05,0)</f>
        <v>0</v>
      </c>
    </row>
    <row r="8" spans="1:13">
      <c r="D8" s="10" t="s">
        <v>91</v>
      </c>
      <c r="E8" s="28">
        <f ca="1">MIN(E7,100000)</f>
        <v>0</v>
      </c>
    </row>
    <row r="9" spans="1:13">
      <c r="D9" s="10" t="s">
        <v>96</v>
      </c>
      <c r="E9" s="28">
        <f ca="1">MIN(IF(E8&gt;=E5,0,E5-E8),2000000)</f>
        <v>0</v>
      </c>
    </row>
  </sheetData>
  <sheetProtection sheet="1" objects="1" scenarios="1"/>
  <phoneticPr fontId="4"/>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4619-6C68-4155-888F-0C73159B844C}">
  <sheetPr>
    <tabColor theme="4" tint="0.59999389629810485"/>
  </sheetPr>
  <dimension ref="A1:E16"/>
  <sheetViews>
    <sheetView workbookViewId="0">
      <selection activeCell="E5" sqref="E5"/>
    </sheetView>
  </sheetViews>
  <sheetFormatPr defaultRowHeight="13.5"/>
  <cols>
    <col min="1" max="2" width="12.5" customWidth="1"/>
    <col min="3" max="3" width="2.5" customWidth="1"/>
    <col min="4" max="4" width="5.25" bestFit="1" customWidth="1"/>
    <col min="5" max="5" width="16.25" customWidth="1"/>
    <col min="6" max="6" width="2.5" customWidth="1"/>
  </cols>
  <sheetData>
    <row r="1" spans="1:5">
      <c r="A1" t="s">
        <v>195</v>
      </c>
      <c r="D1" t="s">
        <v>197</v>
      </c>
    </row>
    <row r="2" spans="1:5">
      <c r="A2" s="10" t="s">
        <v>126</v>
      </c>
      <c r="B2" s="10" t="s">
        <v>148</v>
      </c>
      <c r="D2" t="s">
        <v>70</v>
      </c>
    </row>
    <row r="3" spans="1:5">
      <c r="A3" s="10" t="s">
        <v>196</v>
      </c>
      <c r="B3" s="11">
        <f>SUM(あなたの所得控除情報!E46:E49)</f>
        <v>0</v>
      </c>
      <c r="D3" s="10" t="s">
        <v>82</v>
      </c>
      <c r="E3" s="10" t="s">
        <v>152</v>
      </c>
    </row>
    <row r="4" spans="1:5">
      <c r="A4" s="10" t="s">
        <v>9</v>
      </c>
      <c r="B4" s="11">
        <f>あなたの所得控除情報!E9</f>
        <v>0</v>
      </c>
      <c r="D4" s="10" t="s">
        <v>83</v>
      </c>
      <c r="E4" s="28">
        <f>B3+B4</f>
        <v>0</v>
      </c>
    </row>
    <row r="5" spans="1:5">
      <c r="A5" s="17" t="s">
        <v>12</v>
      </c>
      <c r="B5" s="11">
        <f ca="1">申告計算!B8</f>
        <v>0</v>
      </c>
      <c r="D5" s="10" t="s">
        <v>84</v>
      </c>
      <c r="E5" s="28">
        <f ca="1">B5</f>
        <v>0</v>
      </c>
    </row>
    <row r="6" spans="1:5">
      <c r="D6" s="10" t="s">
        <v>85</v>
      </c>
      <c r="E6" s="28">
        <f ca="1">ROUNDUP(E5*0.4,0)</f>
        <v>0</v>
      </c>
    </row>
    <row r="7" spans="1:5">
      <c r="D7" s="10" t="s">
        <v>90</v>
      </c>
      <c r="E7" s="31">
        <f ca="1">MIN(E4,E6)</f>
        <v>0</v>
      </c>
    </row>
    <row r="8" spans="1:5">
      <c r="D8" s="10" t="s">
        <v>86</v>
      </c>
      <c r="E8" s="31">
        <f ca="1">MAX(E7-2000,0)</f>
        <v>0</v>
      </c>
    </row>
    <row r="10" spans="1:5">
      <c r="D10" t="s">
        <v>198</v>
      </c>
    </row>
    <row r="11" spans="1:5">
      <c r="D11" s="10" t="s">
        <v>82</v>
      </c>
      <c r="E11" s="10" t="s">
        <v>152</v>
      </c>
    </row>
    <row r="12" spans="1:5">
      <c r="D12" s="10" t="s">
        <v>83</v>
      </c>
      <c r="E12" s="28">
        <f>B3</f>
        <v>0</v>
      </c>
    </row>
    <row r="13" spans="1:5">
      <c r="D13" s="10" t="s">
        <v>84</v>
      </c>
      <c r="E13" s="28">
        <f ca="1">B5</f>
        <v>0</v>
      </c>
    </row>
    <row r="14" spans="1:5">
      <c r="D14" s="10" t="s">
        <v>85</v>
      </c>
      <c r="E14" s="28">
        <f ca="1">ROUNDUP(E13*0.4,0)</f>
        <v>0</v>
      </c>
    </row>
    <row r="15" spans="1:5">
      <c r="D15" s="10" t="s">
        <v>90</v>
      </c>
      <c r="E15" s="31">
        <f ca="1">MIN(E12,E14)</f>
        <v>0</v>
      </c>
    </row>
    <row r="16" spans="1:5">
      <c r="D16" s="10" t="s">
        <v>86</v>
      </c>
      <c r="E16" s="31">
        <f ca="1">MAX(E15-2000,0)</f>
        <v>0</v>
      </c>
    </row>
  </sheetData>
  <sheetProtection sheet="1" objects="1" scenarios="1"/>
  <phoneticPr fontId="4"/>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50949-8C06-4E69-A7F1-0D93593BA595}">
  <sheetPr>
    <tabColor theme="4" tint="0.59999389629810485"/>
  </sheetPr>
  <dimension ref="A1:D16"/>
  <sheetViews>
    <sheetView workbookViewId="0">
      <selection activeCell="G16" sqref="G16"/>
    </sheetView>
  </sheetViews>
  <sheetFormatPr defaultRowHeight="13.5"/>
  <cols>
    <col min="1" max="1" width="5.25" bestFit="1" customWidth="1"/>
    <col min="2" max="4" width="16.25" customWidth="1"/>
  </cols>
  <sheetData>
    <row r="1" spans="1:4">
      <c r="A1" s="12" t="s">
        <v>78</v>
      </c>
      <c r="B1" s="12" t="s">
        <v>63</v>
      </c>
      <c r="C1" s="12" t="s">
        <v>202</v>
      </c>
      <c r="D1" s="12" t="s">
        <v>203</v>
      </c>
    </row>
    <row r="2" spans="1:4">
      <c r="A2" s="10">
        <f>IF(B2="",IF(AND(B1="",B3="")=TRUE,"",COUNTA(B$2:B2)+1),COUNTA(B$2:B2))</f>
        <v>1</v>
      </c>
      <c r="B2" s="28">
        <v>1950000</v>
      </c>
      <c r="C2" s="59">
        <v>0.05</v>
      </c>
      <c r="D2" s="28">
        <v>0</v>
      </c>
    </row>
    <row r="3" spans="1:4">
      <c r="A3" s="10">
        <f>IF(B3="",IF(AND(B2="",B4="")=TRUE,"",COUNTA(B$2:B3)+1),COUNTA(B$2:B3))</f>
        <v>2</v>
      </c>
      <c r="B3" s="28">
        <v>3300000</v>
      </c>
      <c r="C3" s="59">
        <v>0.1</v>
      </c>
      <c r="D3" s="28">
        <v>-97500</v>
      </c>
    </row>
    <row r="4" spans="1:4">
      <c r="A4" s="10">
        <f>IF(B4="",IF(AND(B3="",B5="")=TRUE,"",COUNTA(B$2:B4)+1),COUNTA(B$2:B4))</f>
        <v>3</v>
      </c>
      <c r="B4" s="28">
        <v>6950000</v>
      </c>
      <c r="C4" s="59">
        <v>0.2</v>
      </c>
      <c r="D4" s="28">
        <v>-427500</v>
      </c>
    </row>
    <row r="5" spans="1:4">
      <c r="A5" s="10">
        <f>IF(B5="",IF(AND(B4="",B6="")=TRUE,"",COUNTA(B$2:B5)+1),COUNTA(B$2:B5))</f>
        <v>4</v>
      </c>
      <c r="B5" s="28">
        <v>9000000</v>
      </c>
      <c r="C5" s="59">
        <v>0.23</v>
      </c>
      <c r="D5" s="28">
        <v>-636000</v>
      </c>
    </row>
    <row r="6" spans="1:4">
      <c r="A6" s="10">
        <f>IF(B6="",IF(AND(B5="",B7="")=TRUE,"",COUNTA(B$2:B6)+1),COUNTA(B$2:B6))</f>
        <v>5</v>
      </c>
      <c r="B6" s="28">
        <v>18000000</v>
      </c>
      <c r="C6" s="59">
        <v>0.33</v>
      </c>
      <c r="D6" s="28">
        <v>-1536000</v>
      </c>
    </row>
    <row r="7" spans="1:4">
      <c r="A7" s="10">
        <f>IF(B7="",IF(AND(B6="",B8="")=TRUE,"",COUNTA(B$2:B7)+1),COUNTA(B$2:B7))</f>
        <v>6</v>
      </c>
      <c r="B7" s="28">
        <v>40000000</v>
      </c>
      <c r="C7" s="59">
        <v>0.4</v>
      </c>
      <c r="D7" s="28">
        <v>-2796000</v>
      </c>
    </row>
    <row r="8" spans="1:4">
      <c r="A8" s="10">
        <f>IF(B8="",IF(AND(B7="",B9="")=TRUE,"",COUNTA(B$2:B8)+1),COUNTA(B$2:B8))</f>
        <v>7</v>
      </c>
      <c r="B8" s="28"/>
      <c r="C8" s="59">
        <v>0.45</v>
      </c>
      <c r="D8" s="28">
        <v>-4796000</v>
      </c>
    </row>
    <row r="9" spans="1:4">
      <c r="A9" s="10" t="str">
        <f>IF(B9="",IF(AND(B8="",B10="")=TRUE,"",COUNTA(B$2:B9)+1),COUNTA(B$2:B9))</f>
        <v/>
      </c>
      <c r="B9" s="28"/>
      <c r="C9" s="59"/>
      <c r="D9" s="28"/>
    </row>
    <row r="10" spans="1:4">
      <c r="A10" s="10" t="str">
        <f>IF(B10="",IF(AND(B9="",B11="")=TRUE,"",COUNTA(B$2:B10)+1),COUNTA(B$2:B10))</f>
        <v/>
      </c>
      <c r="B10" s="28"/>
      <c r="C10" s="59"/>
      <c r="D10" s="28"/>
    </row>
    <row r="11" spans="1:4">
      <c r="A11" s="10" t="str">
        <f>IF(B11="",IF(AND(B10="",B12="")=TRUE,"",COUNTA(B$2:B11)+1),COUNTA(B$2:B11))</f>
        <v/>
      </c>
      <c r="B11" s="28"/>
      <c r="C11" s="59"/>
      <c r="D11" s="28"/>
    </row>
    <row r="12" spans="1:4">
      <c r="A12" s="10" t="str">
        <f>IF(B12="",IF(AND(B11="",B13="")=TRUE,"",COUNTA(B$2:B12)+1),COUNTA(B$2:B12))</f>
        <v/>
      </c>
      <c r="B12" s="28"/>
      <c r="C12" s="59"/>
      <c r="D12" s="28"/>
    </row>
    <row r="13" spans="1:4">
      <c r="A13" s="10" t="str">
        <f>IF(B13="",IF(AND(B12="",B14="")=TRUE,"",COUNTA(B$2:B13)+1),COUNTA(B$2:B13))</f>
        <v/>
      </c>
      <c r="B13" s="28"/>
      <c r="C13" s="59"/>
      <c r="D13" s="28"/>
    </row>
    <row r="14" spans="1:4">
      <c r="A14" s="10" t="str">
        <f>IF(B14="",IF(AND(B13="",B15="")=TRUE,"",COUNTA(B$2:B14)+1),COUNTA(B$2:B14))</f>
        <v/>
      </c>
      <c r="B14" s="28"/>
      <c r="C14" s="59"/>
      <c r="D14" s="28"/>
    </row>
    <row r="15" spans="1:4">
      <c r="A15" s="10" t="str">
        <f>IF(B15="",IF(AND(B14="",B16="")=TRUE,"",COUNTA(B$2:B15)+1),COUNTA(B$2:B15))</f>
        <v/>
      </c>
      <c r="B15" s="28"/>
      <c r="C15" s="59"/>
      <c r="D15" s="28"/>
    </row>
    <row r="16" spans="1:4">
      <c r="A16" s="10" t="str">
        <f>IF(B16="",IF(AND(B15="",B17="")=TRUE,"",COUNTA(B$2:B16)+1),COUNTA(B$2:B16))</f>
        <v/>
      </c>
      <c r="B16" s="28"/>
      <c r="C16" s="59"/>
      <c r="D16" s="28"/>
    </row>
  </sheetData>
  <sheetProtection sheet="1" objects="1" scenarios="1"/>
  <phoneticPr fontId="4"/>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7B543-F777-4938-BB7E-3149B20F7F23}">
  <sheetPr>
    <tabColor theme="4" tint="0.59999389629810485"/>
  </sheetPr>
  <dimension ref="A1:C16"/>
  <sheetViews>
    <sheetView workbookViewId="0">
      <selection activeCell="B2" sqref="B2:C16"/>
    </sheetView>
  </sheetViews>
  <sheetFormatPr defaultRowHeight="13.5"/>
  <cols>
    <col min="1" max="1" width="5.25" bestFit="1" customWidth="1"/>
    <col min="2" max="3" width="16.25" customWidth="1"/>
  </cols>
  <sheetData>
    <row r="1" spans="1:3">
      <c r="A1" s="23" t="s">
        <v>78</v>
      </c>
      <c r="B1" s="23" t="s">
        <v>63</v>
      </c>
      <c r="C1" s="23" t="s">
        <v>202</v>
      </c>
    </row>
    <row r="2" spans="1:3">
      <c r="A2" s="10">
        <f>IF(B2="",IF(AND(B1="",B3="")=TRUE,"",COUNTA(B$2:B2)+1),COUNTA(B$2:B2))</f>
        <v>1</v>
      </c>
      <c r="B2" s="28">
        <v>1950000</v>
      </c>
      <c r="C2" s="58">
        <f>5.105/84.895</f>
        <v>6.0133105601036581E-2</v>
      </c>
    </row>
    <row r="3" spans="1:3">
      <c r="A3" s="10">
        <f>IF(B3="",IF(AND(B2="",B4="")=TRUE,"",COUNTA(B$2:B3)+1),COUNTA(B$2:B3))</f>
        <v>2</v>
      </c>
      <c r="B3" s="28">
        <v>3300000</v>
      </c>
      <c r="C3" s="58">
        <f>10.21/79.79</f>
        <v>0.12796089735555835</v>
      </c>
    </row>
    <row r="4" spans="1:3">
      <c r="A4" s="10">
        <f>IF(B4="",IF(AND(B3="",B5="")=TRUE,"",COUNTA(B$2:B4)+1),COUNTA(B$2:B4))</f>
        <v>3</v>
      </c>
      <c r="B4" s="28">
        <v>6950000</v>
      </c>
      <c r="C4" s="58">
        <f>20.42/69.58</f>
        <v>0.29347513653348667</v>
      </c>
    </row>
    <row r="5" spans="1:3">
      <c r="A5" s="10">
        <f>IF(B5="",IF(AND(B4="",B6="")=TRUE,"",COUNTA(B$2:B5)+1),COUNTA(B$2:B5))</f>
        <v>4</v>
      </c>
      <c r="B5" s="28">
        <v>9000000</v>
      </c>
      <c r="C5" s="58">
        <f>23.483/66.517</f>
        <v>0.35303756934317548</v>
      </c>
    </row>
    <row r="6" spans="1:3">
      <c r="A6" s="10">
        <f>IF(B6="",IF(AND(B5="",B7="")=TRUE,"",COUNTA(B$2:B6)+1),COUNTA(B$2:B6))</f>
        <v>5</v>
      </c>
      <c r="B6" s="28"/>
      <c r="C6" s="58">
        <f>33.693/56.307</f>
        <v>0.59838030795460595</v>
      </c>
    </row>
    <row r="7" spans="1:3">
      <c r="A7" s="10" t="str">
        <f>IF(B7="",IF(AND(B6="",B8="")=TRUE,"",COUNTA(B$2:B7)+1),COUNTA(B$2:B7))</f>
        <v/>
      </c>
      <c r="B7" s="28"/>
      <c r="C7" s="58"/>
    </row>
    <row r="8" spans="1:3">
      <c r="A8" s="10" t="str">
        <f>IF(B8="",IF(AND(B7="",B9="")=TRUE,"",COUNTA(B$2:B8)+1),COUNTA(B$2:B8))</f>
        <v/>
      </c>
      <c r="B8" s="28"/>
      <c r="C8" s="58"/>
    </row>
    <row r="9" spans="1:3">
      <c r="A9" s="10" t="str">
        <f>IF(B9="",IF(AND(B8="",B10="")=TRUE,"",COUNTA(B$2:B9)+1),COUNTA(B$2:B9))</f>
        <v/>
      </c>
      <c r="B9" s="28"/>
      <c r="C9" s="58"/>
    </row>
    <row r="10" spans="1:3">
      <c r="A10" s="10" t="str">
        <f>IF(B10="",IF(AND(B9="",B11="")=TRUE,"",COUNTA(B$2:B10)+1),COUNTA(B$2:B10))</f>
        <v/>
      </c>
      <c r="B10" s="28"/>
      <c r="C10" s="58"/>
    </row>
    <row r="11" spans="1:3">
      <c r="A11" s="10" t="str">
        <f>IF(B11="",IF(AND(B10="",B12="")=TRUE,"",COUNTA(B$2:B11)+1),COUNTA(B$2:B11))</f>
        <v/>
      </c>
      <c r="B11" s="28"/>
      <c r="C11" s="58"/>
    </row>
    <row r="12" spans="1:3">
      <c r="A12" s="10" t="str">
        <f>IF(B12="",IF(AND(B11="",B13="")=TRUE,"",COUNTA(B$2:B12)+1),COUNTA(B$2:B12))</f>
        <v/>
      </c>
      <c r="B12" s="28"/>
      <c r="C12" s="58"/>
    </row>
    <row r="13" spans="1:3">
      <c r="A13" s="10" t="str">
        <f>IF(B13="",IF(AND(B12="",B14="")=TRUE,"",COUNTA(B$2:B13)+1),COUNTA(B$2:B13))</f>
        <v/>
      </c>
      <c r="B13" s="28"/>
      <c r="C13" s="58"/>
    </row>
    <row r="14" spans="1:3">
      <c r="A14" s="10" t="str">
        <f>IF(B14="",IF(AND(B13="",B15="")=TRUE,"",COUNTA(B$2:B14)+1),COUNTA(B$2:B14))</f>
        <v/>
      </c>
      <c r="B14" s="28"/>
      <c r="C14" s="58"/>
    </row>
    <row r="15" spans="1:3">
      <c r="A15" s="10" t="str">
        <f>IF(B15="",IF(AND(B14="",B16="")=TRUE,"",COUNTA(B$2:B15)+1),COUNTA(B$2:B15))</f>
        <v/>
      </c>
      <c r="B15" s="28"/>
      <c r="C15" s="58"/>
    </row>
    <row r="16" spans="1:3">
      <c r="A16" s="10" t="str">
        <f>IF(B16="",IF(AND(B15="",B17="")=TRUE,"",COUNTA(B$2:B16)+1),COUNTA(B$2:B16))</f>
        <v/>
      </c>
      <c r="B16" s="28"/>
      <c r="C16" s="58"/>
    </row>
  </sheetData>
  <sheetProtection sheet="1" objects="1" scenarios="1"/>
  <phoneticPr fontId="4"/>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B9A4-E4CB-4F91-9347-07B8582C2EFF}">
  <sheetPr>
    <tabColor theme="4" tint="0.59999389629810485"/>
  </sheetPr>
  <dimension ref="A1:H12"/>
  <sheetViews>
    <sheetView workbookViewId="0">
      <selection activeCell="B2" sqref="B2:D5"/>
    </sheetView>
  </sheetViews>
  <sheetFormatPr defaultRowHeight="13.5"/>
  <cols>
    <col min="1" max="1" width="15" customWidth="1"/>
    <col min="2" max="4" width="12.5" customWidth="1"/>
    <col min="6" max="6" width="7.125" bestFit="1" customWidth="1"/>
    <col min="7" max="8" width="15" customWidth="1"/>
  </cols>
  <sheetData>
    <row r="1" spans="1:8">
      <c r="A1" s="10" t="s">
        <v>66</v>
      </c>
      <c r="B1" s="10" t="s">
        <v>242</v>
      </c>
      <c r="C1" s="10" t="s">
        <v>243</v>
      </c>
      <c r="D1" s="10" t="s">
        <v>244</v>
      </c>
      <c r="E1" s="114" t="s">
        <v>333</v>
      </c>
      <c r="F1" s="10" t="s">
        <v>249</v>
      </c>
      <c r="G1" s="10" t="s">
        <v>64</v>
      </c>
      <c r="H1" s="10" t="s">
        <v>250</v>
      </c>
    </row>
    <row r="2" spans="1:8">
      <c r="A2" s="10" t="s">
        <v>238</v>
      </c>
      <c r="B2" s="13">
        <v>350000</v>
      </c>
      <c r="C2" s="13">
        <v>100000</v>
      </c>
      <c r="D2" s="13">
        <v>320000</v>
      </c>
      <c r="E2" s="114"/>
      <c r="F2" s="11">
        <f ca="1">B8</f>
        <v>0</v>
      </c>
      <c r="G2" s="14">
        <f ca="1">IF(F2&gt;0,B2*(F2+1)+C2+D2,B2+C2)</f>
        <v>450000</v>
      </c>
      <c r="H2" s="14">
        <f ca="1">MAX(G2,G$5)</f>
        <v>450000</v>
      </c>
    </row>
    <row r="3" spans="1:8">
      <c r="A3" s="10" t="s">
        <v>239</v>
      </c>
      <c r="B3" s="13">
        <v>290000</v>
      </c>
      <c r="C3" s="13">
        <f>C2</f>
        <v>100000</v>
      </c>
      <c r="D3" s="13">
        <v>170000</v>
      </c>
      <c r="E3" s="114"/>
      <c r="F3" s="11">
        <f ca="1">F2</f>
        <v>0</v>
      </c>
      <c r="G3" s="14">
        <f t="shared" ref="G3:G4" ca="1" si="0">IF(F3&gt;0,B3*(F3+1)+C3+D3,B3+C3)</f>
        <v>390000</v>
      </c>
      <c r="H3" s="14">
        <f t="shared" ref="H3:H4" ca="1" si="1">MAX(G3,G$5)</f>
        <v>390000</v>
      </c>
    </row>
    <row r="4" spans="1:8">
      <c r="A4" s="10" t="s">
        <v>240</v>
      </c>
      <c r="B4" s="13">
        <v>280000</v>
      </c>
      <c r="C4" s="13">
        <f t="shared" ref="C4:C5" si="2">C3</f>
        <v>100000</v>
      </c>
      <c r="D4" s="13">
        <v>168000</v>
      </c>
      <c r="E4" s="114"/>
      <c r="F4" s="11">
        <f ca="1">F2</f>
        <v>0</v>
      </c>
      <c r="G4" s="14">
        <f t="shared" ca="1" si="0"/>
        <v>380000</v>
      </c>
      <c r="H4" s="14">
        <f t="shared" ca="1" si="1"/>
        <v>380000</v>
      </c>
    </row>
    <row r="5" spans="1:8">
      <c r="A5" s="10" t="s">
        <v>241</v>
      </c>
      <c r="B5" s="13">
        <v>1250000</v>
      </c>
      <c r="C5" s="13">
        <f t="shared" si="2"/>
        <v>100000</v>
      </c>
      <c r="D5" s="13">
        <v>0</v>
      </c>
      <c r="E5" s="114"/>
      <c r="F5" s="10">
        <f ca="1">IF(OR(B10&lt;&gt;"",B11&lt;&gt;"",B12&lt;&gt;"")=TRUE,1,0)</f>
        <v>0</v>
      </c>
      <c r="G5" s="14">
        <f ca="1">IF(F5&gt;0,B5+C5,0)</f>
        <v>0</v>
      </c>
    </row>
    <row r="7" spans="1:8">
      <c r="A7" s="10" t="s">
        <v>66</v>
      </c>
      <c r="B7" s="10" t="s">
        <v>152</v>
      </c>
    </row>
    <row r="8" spans="1:8">
      <c r="A8" s="10" t="s">
        <v>160</v>
      </c>
      <c r="B8" s="11">
        <f ca="1">SUM(扶養控除!B4:B9)+'配偶者控除(配偶者特別控除)'!B17</f>
        <v>0</v>
      </c>
    </row>
    <row r="9" spans="1:8">
      <c r="A9" s="10" t="s">
        <v>246</v>
      </c>
      <c r="B9" s="10">
        <f>IF(あなたの所得控除情報!E2="",40,あなたの所得控除情報!E2)</f>
        <v>40</v>
      </c>
    </row>
    <row r="10" spans="1:8">
      <c r="A10" s="10" t="s">
        <v>245</v>
      </c>
      <c r="B10" s="10" t="str">
        <f>IF(あなたの所得控除情報!E36="","",あなたの所得控除情報!E36)</f>
        <v/>
      </c>
    </row>
    <row r="11" spans="1:8">
      <c r="A11" s="10" t="s">
        <v>247</v>
      </c>
      <c r="B11" s="10" t="str">
        <f ca="1">IF(OR(申告計算!F7&gt;0,申告計算!F8&gt;0)=TRUE,"該当","")</f>
        <v/>
      </c>
    </row>
    <row r="12" spans="1:8">
      <c r="A12" s="17" t="s">
        <v>248</v>
      </c>
      <c r="B12" s="10" t="str">
        <f>IF(B9&lt;18,"該当","")</f>
        <v/>
      </c>
    </row>
  </sheetData>
  <sheetProtection sheet="1" objects="1" scenarios="1"/>
  <mergeCells count="1">
    <mergeCell ref="E1:E5"/>
  </mergeCells>
  <phoneticPr fontId="4"/>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5A4DD-A57D-4C8D-ACF3-9BB1FB70DE4C}">
  <sheetPr>
    <tabColor rgb="FFFFFF00"/>
  </sheetPr>
  <dimension ref="A1:F58"/>
  <sheetViews>
    <sheetView tabSelected="1" workbookViewId="0">
      <selection activeCell="E2" sqref="E2"/>
    </sheetView>
  </sheetViews>
  <sheetFormatPr defaultRowHeight="13.5"/>
  <cols>
    <col min="1" max="1" width="3.125" bestFit="1" customWidth="1"/>
    <col min="2" max="2" width="12.5" customWidth="1"/>
    <col min="3" max="3" width="11.25" customWidth="1"/>
    <col min="4" max="4" width="18.75" customWidth="1"/>
    <col min="5" max="5" width="14.875" customWidth="1"/>
    <col min="6" max="6" width="3.625" bestFit="1" customWidth="1"/>
  </cols>
  <sheetData>
    <row r="1" spans="1:6" s="3" customFormat="1" ht="59.25" customHeight="1">
      <c r="A1" s="1"/>
      <c r="B1" s="2"/>
      <c r="C1" s="2"/>
      <c r="D1" s="2"/>
    </row>
    <row r="2" spans="1:6" s="3" customFormat="1">
      <c r="A2" s="70" t="s">
        <v>0</v>
      </c>
      <c r="B2" s="70"/>
      <c r="C2" s="70"/>
      <c r="D2" s="4" t="s">
        <v>1</v>
      </c>
      <c r="E2" s="5"/>
      <c r="F2" s="3" t="s">
        <v>351</v>
      </c>
    </row>
    <row r="3" spans="1:6" s="3" customFormat="1">
      <c r="A3" s="70"/>
      <c r="B3" s="70"/>
      <c r="C3" s="70"/>
      <c r="D3" s="4" t="s">
        <v>2</v>
      </c>
      <c r="E3" s="5"/>
    </row>
    <row r="4" spans="1:6" s="3" customFormat="1">
      <c r="A4" s="1"/>
      <c r="B4" s="2"/>
      <c r="C4" s="2"/>
      <c r="D4" s="2"/>
    </row>
    <row r="5" spans="1:6" s="3" customFormat="1">
      <c r="A5" s="71" t="s">
        <v>3</v>
      </c>
      <c r="B5" s="70"/>
      <c r="C5" s="72" t="s">
        <v>4</v>
      </c>
      <c r="D5" s="72"/>
      <c r="E5" s="6"/>
      <c r="F5" s="3" t="s">
        <v>5</v>
      </c>
    </row>
    <row r="6" spans="1:6" s="3" customFormat="1">
      <c r="A6" s="70"/>
      <c r="B6" s="70"/>
      <c r="C6" s="72" t="s">
        <v>6</v>
      </c>
      <c r="D6" s="72"/>
      <c r="E6" s="6"/>
      <c r="F6" s="3" t="s">
        <v>5</v>
      </c>
    </row>
    <row r="7" spans="1:6" s="3" customFormat="1">
      <c r="A7" s="70"/>
      <c r="B7" s="70"/>
      <c r="C7" s="73" t="s">
        <v>7</v>
      </c>
      <c r="D7" s="73"/>
      <c r="E7" s="7"/>
      <c r="F7" s="3" t="s">
        <v>5</v>
      </c>
    </row>
    <row r="8" spans="1:6" s="3" customFormat="1">
      <c r="A8" s="70"/>
      <c r="B8" s="70"/>
      <c r="C8" s="72" t="s">
        <v>8</v>
      </c>
      <c r="D8" s="72"/>
      <c r="E8" s="6"/>
      <c r="F8" s="3" t="s">
        <v>5</v>
      </c>
    </row>
    <row r="9" spans="1:6" s="3" customFormat="1" ht="22.5" customHeight="1">
      <c r="A9" s="77" t="s">
        <v>9</v>
      </c>
      <c r="B9" s="77"/>
      <c r="C9" s="77"/>
      <c r="D9" s="77"/>
      <c r="E9" s="8"/>
      <c r="F9" s="3" t="s">
        <v>5</v>
      </c>
    </row>
    <row r="10" spans="1:6" s="3" customFormat="1">
      <c r="A10" s="1"/>
      <c r="B10" s="2"/>
      <c r="C10" s="2"/>
      <c r="D10" s="2"/>
    </row>
    <row r="11" spans="1:6" s="3" customFormat="1">
      <c r="A11" s="78" t="s">
        <v>10</v>
      </c>
      <c r="B11" s="74" t="s">
        <v>11</v>
      </c>
      <c r="C11" s="72" t="s">
        <v>1</v>
      </c>
      <c r="D11" s="72"/>
      <c r="E11" s="5"/>
      <c r="F11" s="3" t="s">
        <v>351</v>
      </c>
    </row>
    <row r="12" spans="1:6" s="3" customFormat="1">
      <c r="A12" s="78"/>
      <c r="B12" s="74"/>
      <c r="C12" s="72" t="s">
        <v>12</v>
      </c>
      <c r="D12" s="72"/>
      <c r="E12" s="6"/>
      <c r="F12" s="3" t="s">
        <v>5</v>
      </c>
    </row>
    <row r="13" spans="1:6" s="3" customFormat="1">
      <c r="A13" s="78"/>
      <c r="B13" s="74" t="s">
        <v>13</v>
      </c>
      <c r="C13" s="72" t="s">
        <v>14</v>
      </c>
      <c r="D13" s="72"/>
      <c r="E13" s="5"/>
      <c r="F13" s="3" t="s">
        <v>15</v>
      </c>
    </row>
    <row r="14" spans="1:6" s="3" customFormat="1">
      <c r="A14" s="78"/>
      <c r="B14" s="74"/>
      <c r="C14" s="72" t="s">
        <v>16</v>
      </c>
      <c r="D14" s="72"/>
      <c r="E14" s="5"/>
      <c r="F14" s="3" t="s">
        <v>15</v>
      </c>
    </row>
    <row r="15" spans="1:6" s="3" customFormat="1">
      <c r="A15" s="78"/>
      <c r="B15" s="74"/>
      <c r="C15" s="72" t="s">
        <v>17</v>
      </c>
      <c r="D15" s="72"/>
      <c r="E15" s="5"/>
      <c r="F15" s="3" t="s">
        <v>15</v>
      </c>
    </row>
    <row r="16" spans="1:6" s="3" customFormat="1">
      <c r="A16" s="78"/>
      <c r="B16" s="74"/>
      <c r="C16" s="72" t="s">
        <v>18</v>
      </c>
      <c r="D16" s="72"/>
      <c r="E16" s="5"/>
      <c r="F16" s="3" t="s">
        <v>15</v>
      </c>
    </row>
    <row r="17" spans="1:6" s="3" customFormat="1">
      <c r="A17" s="78"/>
      <c r="B17" s="74"/>
      <c r="C17" s="79" t="s">
        <v>19</v>
      </c>
      <c r="D17" s="4" t="s">
        <v>20</v>
      </c>
      <c r="E17" s="5"/>
      <c r="F17" s="3" t="s">
        <v>15</v>
      </c>
    </row>
    <row r="18" spans="1:6" s="3" customFormat="1">
      <c r="A18" s="78"/>
      <c r="B18" s="74"/>
      <c r="C18" s="79"/>
      <c r="D18" s="4" t="s">
        <v>21</v>
      </c>
      <c r="E18" s="5"/>
      <c r="F18" s="3" t="s">
        <v>15</v>
      </c>
    </row>
    <row r="19" spans="1:6" s="3" customFormat="1">
      <c r="A19" s="78"/>
      <c r="B19" s="74" t="s">
        <v>22</v>
      </c>
      <c r="C19" s="72" t="s">
        <v>23</v>
      </c>
      <c r="D19" s="72"/>
      <c r="E19" s="6"/>
      <c r="F19" s="3" t="s">
        <v>5</v>
      </c>
    </row>
    <row r="20" spans="1:6" s="3" customFormat="1">
      <c r="A20" s="78"/>
      <c r="B20" s="74"/>
      <c r="C20" s="74" t="s">
        <v>355</v>
      </c>
      <c r="D20" s="4" t="s">
        <v>24</v>
      </c>
      <c r="E20" s="6"/>
      <c r="F20" s="3" t="s">
        <v>5</v>
      </c>
    </row>
    <row r="21" spans="1:6" s="3" customFormat="1">
      <c r="A21" s="78"/>
      <c r="B21" s="74"/>
      <c r="C21" s="72"/>
      <c r="D21" s="4" t="s">
        <v>25</v>
      </c>
      <c r="E21" s="6"/>
      <c r="F21" s="3" t="s">
        <v>5</v>
      </c>
    </row>
    <row r="22" spans="1:6" s="3" customFormat="1">
      <c r="A22" s="78"/>
      <c r="B22" s="74"/>
      <c r="C22" s="72"/>
      <c r="D22" s="4" t="s">
        <v>26</v>
      </c>
      <c r="E22" s="6"/>
      <c r="F22" s="3" t="s">
        <v>5</v>
      </c>
    </row>
    <row r="23" spans="1:6" s="3" customFormat="1">
      <c r="A23" s="78"/>
      <c r="B23" s="72" t="s">
        <v>27</v>
      </c>
      <c r="C23" s="72"/>
      <c r="D23" s="72"/>
      <c r="E23" s="7"/>
      <c r="F23" s="3" t="s">
        <v>5</v>
      </c>
    </row>
    <row r="24" spans="1:6" s="3" customFormat="1">
      <c r="A24" s="78"/>
      <c r="B24" s="74" t="s">
        <v>28</v>
      </c>
      <c r="C24" s="74" t="s">
        <v>29</v>
      </c>
      <c r="D24" s="4" t="s">
        <v>31</v>
      </c>
      <c r="E24" s="6"/>
      <c r="F24" s="3" t="s">
        <v>5</v>
      </c>
    </row>
    <row r="25" spans="1:6" s="3" customFormat="1">
      <c r="A25" s="78"/>
      <c r="B25" s="74"/>
      <c r="C25" s="72"/>
      <c r="D25" s="4" t="s">
        <v>30</v>
      </c>
      <c r="E25" s="6"/>
      <c r="F25" s="3" t="s">
        <v>5</v>
      </c>
    </row>
    <row r="26" spans="1:6" s="3" customFormat="1">
      <c r="A26" s="78"/>
      <c r="B26" s="74"/>
      <c r="C26" s="75" t="s">
        <v>32</v>
      </c>
      <c r="D26" s="4" t="s">
        <v>31</v>
      </c>
      <c r="E26" s="6"/>
      <c r="F26" s="3" t="s">
        <v>5</v>
      </c>
    </row>
    <row r="27" spans="1:6" s="3" customFormat="1">
      <c r="A27" s="78"/>
      <c r="B27" s="74"/>
      <c r="C27" s="76"/>
      <c r="D27" s="4" t="s">
        <v>30</v>
      </c>
      <c r="E27" s="6"/>
      <c r="F27" s="3" t="s">
        <v>5</v>
      </c>
    </row>
    <row r="28" spans="1:6" s="3" customFormat="1">
      <c r="A28" s="78"/>
      <c r="B28" s="74"/>
      <c r="C28" s="72" t="s">
        <v>33</v>
      </c>
      <c r="D28" s="72"/>
      <c r="E28" s="6"/>
      <c r="F28" s="3" t="s">
        <v>5</v>
      </c>
    </row>
    <row r="29" spans="1:6" s="3" customFormat="1">
      <c r="A29" s="78"/>
      <c r="B29" s="74" t="s">
        <v>34</v>
      </c>
      <c r="C29" s="72" t="s">
        <v>35</v>
      </c>
      <c r="D29" s="72"/>
      <c r="E29" s="6"/>
      <c r="F29" s="3" t="s">
        <v>5</v>
      </c>
    </row>
    <row r="30" spans="1:6" s="3" customFormat="1">
      <c r="A30" s="78"/>
      <c r="B30" s="74"/>
      <c r="C30" s="74" t="s">
        <v>36</v>
      </c>
      <c r="D30" s="4" t="s">
        <v>35</v>
      </c>
      <c r="E30" s="6"/>
      <c r="F30" s="3" t="s">
        <v>5</v>
      </c>
    </row>
    <row r="31" spans="1:6" s="3" customFormat="1">
      <c r="A31" s="78"/>
      <c r="B31" s="74"/>
      <c r="C31" s="72"/>
      <c r="D31" s="4" t="s">
        <v>37</v>
      </c>
      <c r="E31" s="6"/>
      <c r="F31" s="3" t="s">
        <v>5</v>
      </c>
    </row>
    <row r="32" spans="1:6" s="3" customFormat="1">
      <c r="A32" s="78"/>
      <c r="B32" s="74"/>
      <c r="C32" s="72" t="s">
        <v>37</v>
      </c>
      <c r="D32" s="72"/>
      <c r="E32" s="6"/>
      <c r="F32" s="3" t="s">
        <v>5</v>
      </c>
    </row>
    <row r="33" spans="1:6" s="3" customFormat="1">
      <c r="A33" s="78"/>
      <c r="B33" s="74" t="s">
        <v>38</v>
      </c>
      <c r="C33" s="72" t="s">
        <v>39</v>
      </c>
      <c r="D33" s="72"/>
      <c r="E33" s="5"/>
    </row>
    <row r="34" spans="1:6" s="3" customFormat="1">
      <c r="A34" s="78"/>
      <c r="B34" s="72"/>
      <c r="C34" s="72" t="s">
        <v>40</v>
      </c>
      <c r="D34" s="72"/>
      <c r="E34" s="5"/>
    </row>
    <row r="35" spans="1:6" s="3" customFormat="1">
      <c r="A35" s="78"/>
      <c r="B35" s="72"/>
      <c r="C35" s="72" t="s">
        <v>41</v>
      </c>
      <c r="D35" s="72"/>
      <c r="E35" s="5"/>
    </row>
    <row r="36" spans="1:6" s="3" customFormat="1">
      <c r="A36" s="78"/>
      <c r="B36" s="72" t="s">
        <v>42</v>
      </c>
      <c r="C36" s="72"/>
      <c r="D36" s="72"/>
      <c r="E36" s="5"/>
    </row>
    <row r="37" spans="1:6" s="3" customFormat="1">
      <c r="A37" s="78"/>
      <c r="B37" s="74" t="s">
        <v>43</v>
      </c>
      <c r="C37" s="72" t="s">
        <v>44</v>
      </c>
      <c r="D37" s="72"/>
      <c r="E37" s="5"/>
      <c r="F37" s="3" t="s">
        <v>15</v>
      </c>
    </row>
    <row r="38" spans="1:6" s="3" customFormat="1">
      <c r="A38" s="78"/>
      <c r="B38" s="72"/>
      <c r="C38" s="79" t="s">
        <v>45</v>
      </c>
      <c r="D38" s="4" t="s">
        <v>46</v>
      </c>
      <c r="E38" s="5"/>
      <c r="F38" s="3" t="s">
        <v>15</v>
      </c>
    </row>
    <row r="39" spans="1:6" s="3" customFormat="1">
      <c r="A39" s="78"/>
      <c r="B39" s="72"/>
      <c r="C39" s="79"/>
      <c r="D39" s="4" t="s">
        <v>47</v>
      </c>
      <c r="E39" s="5"/>
      <c r="F39" s="3" t="s">
        <v>15</v>
      </c>
    </row>
    <row r="40" spans="1:6" s="3" customFormat="1">
      <c r="A40" s="78"/>
      <c r="B40" s="72" t="s">
        <v>48</v>
      </c>
      <c r="C40" s="72"/>
      <c r="D40" s="72"/>
      <c r="E40" s="5"/>
    </row>
    <row r="41" spans="1:6" s="3" customFormat="1">
      <c r="A41" s="78"/>
      <c r="B41" s="72" t="s">
        <v>49</v>
      </c>
      <c r="C41" s="72"/>
      <c r="D41" s="72"/>
      <c r="E41" s="6"/>
      <c r="F41" s="3" t="s">
        <v>5</v>
      </c>
    </row>
    <row r="42" spans="1:6" s="3" customFormat="1" ht="13.5" customHeight="1">
      <c r="A42" s="80" t="s">
        <v>50</v>
      </c>
      <c r="B42" s="84" t="s">
        <v>51</v>
      </c>
      <c r="C42" s="83" t="s">
        <v>52</v>
      </c>
      <c r="D42" s="72"/>
      <c r="E42" s="7"/>
      <c r="F42" s="3" t="s">
        <v>5</v>
      </c>
    </row>
    <row r="43" spans="1:6" s="3" customFormat="1">
      <c r="A43" s="81"/>
      <c r="B43" s="85"/>
      <c r="C43" s="9"/>
      <c r="D43" s="4" t="s">
        <v>53</v>
      </c>
      <c r="E43" s="7"/>
      <c r="F43" s="3" t="s">
        <v>5</v>
      </c>
    </row>
    <row r="44" spans="1:6" s="3" customFormat="1">
      <c r="A44" s="81"/>
      <c r="B44" s="85"/>
      <c r="C44" s="83" t="s">
        <v>54</v>
      </c>
      <c r="D44" s="72"/>
      <c r="E44" s="7"/>
      <c r="F44" s="3" t="s">
        <v>5</v>
      </c>
    </row>
    <row r="45" spans="1:6" s="3" customFormat="1" ht="13.5" customHeight="1">
      <c r="A45" s="81"/>
      <c r="B45" s="86"/>
      <c r="C45" s="9"/>
      <c r="D45" s="15" t="s">
        <v>53</v>
      </c>
      <c r="E45" s="7"/>
      <c r="F45" s="3" t="s">
        <v>5</v>
      </c>
    </row>
    <row r="46" spans="1:6" s="3" customFormat="1">
      <c r="A46" s="81"/>
      <c r="B46" s="84" t="s">
        <v>55</v>
      </c>
      <c r="C46" s="72" t="s">
        <v>56</v>
      </c>
      <c r="D46" s="72"/>
      <c r="E46" s="7"/>
      <c r="F46" s="3" t="s">
        <v>5</v>
      </c>
    </row>
    <row r="47" spans="1:6" s="3" customFormat="1">
      <c r="A47" s="81"/>
      <c r="B47" s="85"/>
      <c r="C47" s="72" t="s">
        <v>57</v>
      </c>
      <c r="D47" s="72"/>
      <c r="E47" s="7"/>
      <c r="F47" s="3" t="s">
        <v>5</v>
      </c>
    </row>
    <row r="48" spans="1:6" s="3" customFormat="1">
      <c r="A48" s="81"/>
      <c r="B48" s="85"/>
      <c r="C48" s="72" t="s">
        <v>58</v>
      </c>
      <c r="D48" s="72"/>
      <c r="E48" s="7"/>
      <c r="F48" s="3" t="s">
        <v>5</v>
      </c>
    </row>
    <row r="49" spans="1:6" s="3" customFormat="1">
      <c r="A49" s="81"/>
      <c r="B49" s="86"/>
      <c r="C49" s="72" t="s">
        <v>59</v>
      </c>
      <c r="D49" s="72"/>
      <c r="E49" s="7"/>
      <c r="F49" s="3" t="s">
        <v>5</v>
      </c>
    </row>
    <row r="50" spans="1:6">
      <c r="A50" s="82"/>
      <c r="B50" s="72" t="s">
        <v>60</v>
      </c>
      <c r="C50" s="72"/>
      <c r="D50" s="72"/>
      <c r="E50" s="7"/>
      <c r="F50" s="3" t="s">
        <v>5</v>
      </c>
    </row>
    <row r="52" spans="1:6" ht="13.5" customHeight="1">
      <c r="A52" s="66"/>
      <c r="B52" s="66"/>
      <c r="C52" s="68" t="s">
        <v>354</v>
      </c>
      <c r="D52" s="68"/>
      <c r="E52" s="68"/>
    </row>
    <row r="53" spans="1:6">
      <c r="C53" s="68"/>
      <c r="D53" s="68"/>
      <c r="E53" s="68"/>
    </row>
    <row r="54" spans="1:6">
      <c r="C54" s="68"/>
      <c r="D54" s="68"/>
      <c r="E54" s="68"/>
    </row>
    <row r="55" spans="1:6">
      <c r="A55" s="67"/>
      <c r="B55" s="67"/>
      <c r="C55" s="68" t="s">
        <v>352</v>
      </c>
      <c r="D55" s="68"/>
      <c r="E55" s="68"/>
    </row>
    <row r="56" spans="1:6">
      <c r="C56" s="68"/>
      <c r="D56" s="68"/>
      <c r="E56" s="68"/>
    </row>
    <row r="57" spans="1:6">
      <c r="A57" s="69"/>
      <c r="B57" s="69"/>
      <c r="C57" s="68" t="s">
        <v>353</v>
      </c>
      <c r="D57" s="68"/>
      <c r="E57" s="68"/>
    </row>
    <row r="58" spans="1:6">
      <c r="C58" s="68"/>
      <c r="D58" s="68"/>
      <c r="E58" s="68"/>
    </row>
  </sheetData>
  <sheetProtection sheet="1" objects="1" scenarios="1" selectLockedCells="1"/>
  <mergeCells count="55">
    <mergeCell ref="A42:A50"/>
    <mergeCell ref="B40:D40"/>
    <mergeCell ref="C42:D42"/>
    <mergeCell ref="C44:D44"/>
    <mergeCell ref="C46:D46"/>
    <mergeCell ref="C47:D47"/>
    <mergeCell ref="C48:D48"/>
    <mergeCell ref="C49:D49"/>
    <mergeCell ref="B50:D50"/>
    <mergeCell ref="B46:B49"/>
    <mergeCell ref="B42:B45"/>
    <mergeCell ref="C19:D19"/>
    <mergeCell ref="C20:C22"/>
    <mergeCell ref="B23:D23"/>
    <mergeCell ref="B41:D41"/>
    <mergeCell ref="B29:B32"/>
    <mergeCell ref="C29:D29"/>
    <mergeCell ref="C30:C31"/>
    <mergeCell ref="C32:D32"/>
    <mergeCell ref="B33:B35"/>
    <mergeCell ref="C33:D33"/>
    <mergeCell ref="C34:D34"/>
    <mergeCell ref="C35:D35"/>
    <mergeCell ref="B36:D36"/>
    <mergeCell ref="B37:B39"/>
    <mergeCell ref="C37:D37"/>
    <mergeCell ref="C38:C39"/>
    <mergeCell ref="B24:B28"/>
    <mergeCell ref="C24:C25"/>
    <mergeCell ref="C26:C27"/>
    <mergeCell ref="C28:D28"/>
    <mergeCell ref="A9:D9"/>
    <mergeCell ref="A11:A41"/>
    <mergeCell ref="B11:B12"/>
    <mergeCell ref="C11:D11"/>
    <mergeCell ref="C12:D12"/>
    <mergeCell ref="B13:B18"/>
    <mergeCell ref="C13:D13"/>
    <mergeCell ref="C14:D14"/>
    <mergeCell ref="C15:D15"/>
    <mergeCell ref="C16:D16"/>
    <mergeCell ref="C17:C18"/>
    <mergeCell ref="B19:B22"/>
    <mergeCell ref="A2:C3"/>
    <mergeCell ref="A5:B8"/>
    <mergeCell ref="C5:D5"/>
    <mergeCell ref="C6:D6"/>
    <mergeCell ref="C7:D7"/>
    <mergeCell ref="C8:D8"/>
    <mergeCell ref="A52:B52"/>
    <mergeCell ref="A55:B55"/>
    <mergeCell ref="C55:E56"/>
    <mergeCell ref="A57:B57"/>
    <mergeCell ref="C57:E58"/>
    <mergeCell ref="C52:E54"/>
  </mergeCells>
  <phoneticPr fontId="4"/>
  <dataValidations count="6">
    <dataValidation type="whole" operator="greaterThanOrEqual" allowBlank="1" showInputMessage="1" showErrorMessage="1" sqref="E5:E9 E11:E32 E37:E39 E42:E50" xr:uid="{9456757F-3E4F-43D6-9E40-C82BA48D8DA7}">
      <formula1>0</formula1>
    </dataValidation>
    <dataValidation type="list" allowBlank="1" showInputMessage="1" showErrorMessage="1" sqref="E3" xr:uid="{63C29E67-9720-4537-8726-E03D6E095A1F}">
      <formula1>"男,女"</formula1>
    </dataValidation>
    <dataValidation type="list" allowBlank="1" showInputMessage="1" showErrorMessage="1" sqref="E36" xr:uid="{CED5E63B-E5DD-4787-A33B-2C827616FA2F}">
      <formula1>"普通障害,特別障害"</formula1>
    </dataValidation>
    <dataValidation type="list" allowBlank="1" showInputMessage="1" showErrorMessage="1" sqref="E33 E40" xr:uid="{D99A0149-D748-4DF7-AB4A-E1E7C2FEF4D1}">
      <formula1>"該当"</formula1>
    </dataValidation>
    <dataValidation type="list" allowBlank="1" showInputMessage="1" showErrorMessage="1" sqref="E35" xr:uid="{9DD124A8-6AF1-4AD9-BD3C-0E3AA20D7E71}">
      <formula1>"いる"</formula1>
    </dataValidation>
    <dataValidation type="list" allowBlank="1" showInputMessage="1" showErrorMessage="1" sqref="E34" xr:uid="{0EC2A537-86B7-436F-A466-27CA6B067824}">
      <formula1>"離別,死別,生死不明,未帰還"</formula1>
    </dataValidation>
  </dataValidations>
  <pageMargins left="0.7" right="0.7" top="0.75" bottom="0.75"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2E4EA-9657-4631-A040-89F004FAED8C}">
  <sheetPr>
    <tabColor theme="4" tint="0.59999389629810485"/>
  </sheetPr>
  <dimension ref="A1:AR69"/>
  <sheetViews>
    <sheetView topLeftCell="A6" workbookViewId="0">
      <selection activeCell="O6" sqref="O6"/>
    </sheetView>
  </sheetViews>
  <sheetFormatPr defaultRowHeight="13.5"/>
  <cols>
    <col min="1" max="1" width="12.5" customWidth="1"/>
    <col min="2" max="3" width="11.25" customWidth="1"/>
    <col min="4" max="4" width="2.5" customWidth="1"/>
    <col min="5" max="5" width="12.5" customWidth="1"/>
    <col min="6" max="8" width="11.25" customWidth="1"/>
    <col min="9" max="9" width="2.5" customWidth="1"/>
    <col min="10" max="10" width="16.25" customWidth="1"/>
    <col min="11" max="12" width="12.5" customWidth="1"/>
    <col min="13" max="13" width="2.5" customWidth="1"/>
    <col min="14" max="14" width="18.75" customWidth="1"/>
    <col min="15" max="16" width="15" customWidth="1"/>
    <col min="17" max="17" width="2.5" customWidth="1"/>
    <col min="18" max="18" width="18.75" customWidth="1"/>
    <col min="19" max="19" width="9.25" bestFit="1" customWidth="1"/>
    <col min="20" max="20" width="2.5" customWidth="1"/>
    <col min="21" max="21" width="11.25" customWidth="1"/>
    <col min="22" max="22" width="6.25" bestFit="1" customWidth="1"/>
    <col min="23" max="23" width="4.75" bestFit="1" customWidth="1"/>
    <col min="24" max="44" width="7.5" customWidth="1"/>
  </cols>
  <sheetData>
    <row r="1" spans="1:44">
      <c r="A1" t="s">
        <v>65</v>
      </c>
      <c r="E1" t="s">
        <v>100</v>
      </c>
      <c r="J1" t="s">
        <v>199</v>
      </c>
      <c r="N1" t="s">
        <v>258</v>
      </c>
      <c r="R1" t="s">
        <v>275</v>
      </c>
      <c r="U1" s="52"/>
      <c r="V1" s="52"/>
      <c r="W1" s="52"/>
      <c r="X1" s="52"/>
      <c r="Y1" s="52"/>
      <c r="Z1" s="52"/>
      <c r="AA1" s="52"/>
      <c r="AB1" s="52"/>
      <c r="AC1" s="52"/>
      <c r="AD1" s="52"/>
      <c r="AE1" s="52"/>
      <c r="AF1" s="52"/>
      <c r="AG1" s="52"/>
      <c r="AH1" s="52"/>
      <c r="AI1" s="52"/>
      <c r="AJ1" s="52"/>
      <c r="AK1" s="52"/>
      <c r="AL1" s="52"/>
      <c r="AM1" s="52"/>
      <c r="AN1" s="52"/>
      <c r="AO1" s="52"/>
      <c r="AP1" s="52"/>
      <c r="AQ1" s="52"/>
      <c r="AR1" s="53" t="s">
        <v>330</v>
      </c>
    </row>
    <row r="2" spans="1:44">
      <c r="A2" s="10" t="s">
        <v>66</v>
      </c>
      <c r="B2" s="10" t="s">
        <v>70</v>
      </c>
      <c r="C2" s="10" t="s">
        <v>71</v>
      </c>
      <c r="E2" s="18" t="s">
        <v>66</v>
      </c>
      <c r="F2" s="18" t="s">
        <v>70</v>
      </c>
      <c r="G2" s="18" t="s">
        <v>71</v>
      </c>
      <c r="H2" s="24" t="s">
        <v>135</v>
      </c>
      <c r="J2" s="24" t="s">
        <v>200</v>
      </c>
      <c r="K2" s="24" t="s">
        <v>210</v>
      </c>
      <c r="L2" s="24" t="s">
        <v>211</v>
      </c>
      <c r="N2" s="24" t="s">
        <v>200</v>
      </c>
      <c r="O2" s="24" t="s">
        <v>229</v>
      </c>
      <c r="P2" s="24" t="s">
        <v>230</v>
      </c>
      <c r="R2" s="24" t="s">
        <v>276</v>
      </c>
      <c r="S2" s="24" t="s">
        <v>279</v>
      </c>
      <c r="U2" s="87" t="s">
        <v>324</v>
      </c>
      <c r="V2" s="88"/>
      <c r="W2" s="89"/>
      <c r="X2" s="54" t="str">
        <f>シミュレーター!D3</f>
        <v>0円</v>
      </c>
      <c r="Y2" s="54" t="str">
        <f ca="1">シミュレーター!E3</f>
        <v>1千円</v>
      </c>
      <c r="Z2" s="54" t="str">
        <f ca="1">シミュレーター!F3</f>
        <v>2千円</v>
      </c>
      <c r="AA2" s="54" t="str">
        <f ca="1">シミュレーター!G3</f>
        <v>3千円</v>
      </c>
      <c r="AB2" s="54" t="str">
        <f ca="1">シミュレーター!H3</f>
        <v>4千円</v>
      </c>
      <c r="AC2" s="54" t="str">
        <f ca="1">シミュレーター!I3</f>
        <v>5千円</v>
      </c>
      <c r="AD2" s="54" t="str">
        <f ca="1">シミュレーター!J3</f>
        <v>6千円</v>
      </c>
      <c r="AE2" s="54" t="str">
        <f ca="1">シミュレーター!K3</f>
        <v>7千円</v>
      </c>
      <c r="AF2" s="54" t="str">
        <f ca="1">シミュレーター!L3</f>
        <v>8千円</v>
      </c>
      <c r="AG2" s="54" t="str">
        <f ca="1">シミュレーター!M3</f>
        <v>9千円</v>
      </c>
      <c r="AH2" s="54" t="str">
        <f ca="1">シミュレーター!N3</f>
        <v>10千円</v>
      </c>
      <c r="AI2" s="54" t="str">
        <f ca="1">シミュレーター!O3</f>
        <v>11千円</v>
      </c>
      <c r="AJ2" s="54" t="str">
        <f ca="1">シミュレーター!P3</f>
        <v>12千円</v>
      </c>
      <c r="AK2" s="54" t="str">
        <f ca="1">シミュレーター!Q3</f>
        <v>13千円</v>
      </c>
      <c r="AL2" s="54" t="str">
        <f ca="1">シミュレーター!R3</f>
        <v>14千円</v>
      </c>
      <c r="AM2" s="54" t="str">
        <f ca="1">シミュレーター!S3</f>
        <v>15千円</v>
      </c>
      <c r="AN2" s="54" t="str">
        <f ca="1">シミュレーター!T3</f>
        <v>16千円</v>
      </c>
      <c r="AO2" s="54" t="str">
        <f ca="1">シミュレーター!U3</f>
        <v>17千円</v>
      </c>
      <c r="AP2" s="54" t="str">
        <f ca="1">シミュレーター!V3</f>
        <v>18千円</v>
      </c>
      <c r="AQ2" s="54" t="str">
        <f ca="1">シミュレーター!W3</f>
        <v>19千円</v>
      </c>
      <c r="AR2" s="54" t="str">
        <f ca="1">シミュレーター!X3</f>
        <v>20千円</v>
      </c>
    </row>
    <row r="3" spans="1:44">
      <c r="A3" s="18" t="s">
        <v>67</v>
      </c>
      <c r="B3" s="14">
        <f>給与所得計算!B4</f>
        <v>0</v>
      </c>
      <c r="C3" s="14">
        <f>B3</f>
        <v>0</v>
      </c>
      <c r="E3" s="18" t="s">
        <v>101</v>
      </c>
      <c r="F3" s="20">
        <f>SUM(あなたの所得控除情報!E19:E22)</f>
        <v>0</v>
      </c>
      <c r="G3" s="18">
        <f>F3</f>
        <v>0</v>
      </c>
      <c r="H3" s="18">
        <v>0</v>
      </c>
      <c r="J3" s="10" t="s">
        <v>201</v>
      </c>
      <c r="K3" s="11">
        <f ca="1">IF(F19&gt;=B8,0,ROUNDDOWN(B8-F19,-3))</f>
        <v>0</v>
      </c>
      <c r="L3" s="10" t="s">
        <v>204</v>
      </c>
      <c r="N3" s="18" t="s">
        <v>228</v>
      </c>
      <c r="O3" s="11">
        <f ca="1">$C8</f>
        <v>0</v>
      </c>
      <c r="P3" s="11">
        <f ca="1">$C8</f>
        <v>0</v>
      </c>
      <c r="R3" s="18" t="s">
        <v>277</v>
      </c>
      <c r="S3" s="11">
        <f ca="1">O16</f>
        <v>0</v>
      </c>
      <c r="U3" s="91" t="s">
        <v>297</v>
      </c>
      <c r="V3" s="87" t="s">
        <v>325</v>
      </c>
      <c r="W3" s="89"/>
      <c r="X3" s="55">
        <f ca="1">シミュレーター!D55</f>
        <v>0</v>
      </c>
      <c r="Y3" s="55">
        <f ca="1">シミュレーター!E55</f>
        <v>0</v>
      </c>
      <c r="Z3" s="55">
        <f ca="1">シミュレーター!F55</f>
        <v>0</v>
      </c>
      <c r="AA3" s="55">
        <f ca="1">シミュレーター!G55</f>
        <v>0</v>
      </c>
      <c r="AB3" s="55">
        <f ca="1">シミュレーター!H55</f>
        <v>0</v>
      </c>
      <c r="AC3" s="55">
        <f ca="1">シミュレーター!I55</f>
        <v>0</v>
      </c>
      <c r="AD3" s="55">
        <f ca="1">シミュレーター!J55</f>
        <v>0</v>
      </c>
      <c r="AE3" s="55">
        <f ca="1">シミュレーター!K55</f>
        <v>0</v>
      </c>
      <c r="AF3" s="55">
        <f ca="1">シミュレーター!L55</f>
        <v>0</v>
      </c>
      <c r="AG3" s="55">
        <f ca="1">シミュレーター!M55</f>
        <v>0</v>
      </c>
      <c r="AH3" s="55">
        <f ca="1">シミュレーター!N55</f>
        <v>0</v>
      </c>
      <c r="AI3" s="55">
        <f ca="1">シミュレーター!O55</f>
        <v>0</v>
      </c>
      <c r="AJ3" s="55">
        <f ca="1">シミュレーター!P55</f>
        <v>0</v>
      </c>
      <c r="AK3" s="55">
        <f ca="1">シミュレーター!Q55</f>
        <v>0</v>
      </c>
      <c r="AL3" s="55">
        <f ca="1">シミュレーター!R55</f>
        <v>0</v>
      </c>
      <c r="AM3" s="55">
        <f ca="1">シミュレーター!S55</f>
        <v>0</v>
      </c>
      <c r="AN3" s="55">
        <f ca="1">シミュレーター!T55</f>
        <v>0</v>
      </c>
      <c r="AO3" s="55">
        <f ca="1">シミュレーター!U55</f>
        <v>0</v>
      </c>
      <c r="AP3" s="55">
        <f ca="1">シミュレーター!V55</f>
        <v>0</v>
      </c>
      <c r="AQ3" s="55">
        <f ca="1">シミュレーター!W55</f>
        <v>0</v>
      </c>
      <c r="AR3" s="55">
        <f ca="1">シミュレーター!X55</f>
        <v>0</v>
      </c>
    </row>
    <row r="4" spans="1:44">
      <c r="A4" s="18" t="s">
        <v>68</v>
      </c>
      <c r="B4" s="14">
        <f ca="1">年金所得計算!B8</f>
        <v>0</v>
      </c>
      <c r="C4" s="14">
        <f t="shared" ref="C4:C5" ca="1" si="0">B4</f>
        <v>0</v>
      </c>
      <c r="E4" s="18" t="s">
        <v>102</v>
      </c>
      <c r="F4" s="20">
        <f>あなたの所得控除情報!E23</f>
        <v>0</v>
      </c>
      <c r="G4" s="18">
        <f>F4</f>
        <v>0</v>
      </c>
      <c r="H4" s="18">
        <v>0</v>
      </c>
      <c r="J4" s="10" t="s">
        <v>207</v>
      </c>
      <c r="K4" s="33">
        <f ca="1">INDEX(所得税率管理!$B$2:$D$16,COUNTIF(所得税率管理!$B$2:$B$16,"&lt;"&amp;K3)+1,2)</f>
        <v>0.05</v>
      </c>
      <c r="L4" s="10" t="s">
        <v>205</v>
      </c>
      <c r="N4" s="18" t="s">
        <v>191</v>
      </c>
      <c r="O4" s="11">
        <f ca="1">$G19</f>
        <v>430000</v>
      </c>
      <c r="P4" s="11">
        <f ca="1">$G19</f>
        <v>430000</v>
      </c>
      <c r="R4" s="18" t="s">
        <v>278</v>
      </c>
      <c r="S4" s="11">
        <f ca="1">ROUNDDOWN((O40+P40)/(0.9-O38*1.021)+2000,-2)</f>
        <v>2000</v>
      </c>
      <c r="U4" s="93"/>
      <c r="V4" s="91" t="s">
        <v>327</v>
      </c>
      <c r="W4" s="56" t="s">
        <v>328</v>
      </c>
      <c r="X4" s="57">
        <f ca="1">IF(シミュレーター!D21&lt;=0,0,シミュレーター!D21)</f>
        <v>0</v>
      </c>
      <c r="Y4" s="57">
        <f ca="1">IF(シミュレーター!E21&lt;=0,0,シミュレーター!E21)</f>
        <v>0</v>
      </c>
      <c r="Z4" s="57">
        <f ca="1">IF(シミュレーター!F21&lt;=0,0,シミュレーター!F21)</f>
        <v>0</v>
      </c>
      <c r="AA4" s="57">
        <f ca="1">IF(シミュレーター!G21&lt;=0,0,シミュレーター!G21)</f>
        <v>0</v>
      </c>
      <c r="AB4" s="57">
        <f ca="1">IF(シミュレーター!H21&lt;=0,0,シミュレーター!H21)</f>
        <v>0</v>
      </c>
      <c r="AC4" s="57">
        <f ca="1">IF(シミュレーター!I21&lt;=0,0,シミュレーター!I21)</f>
        <v>0</v>
      </c>
      <c r="AD4" s="57">
        <f ca="1">IF(シミュレーター!J21&lt;=0,0,シミュレーター!J21)</f>
        <v>0</v>
      </c>
      <c r="AE4" s="57">
        <f ca="1">IF(シミュレーター!K21&lt;=0,0,シミュレーター!K21)</f>
        <v>0</v>
      </c>
      <c r="AF4" s="57">
        <f ca="1">IF(シミュレーター!L21&lt;=0,0,シミュレーター!L21)</f>
        <v>0</v>
      </c>
      <c r="AG4" s="57">
        <f ca="1">IF(シミュレーター!M21&lt;=0,0,シミュレーター!M21)</f>
        <v>0</v>
      </c>
      <c r="AH4" s="57">
        <f ca="1">IF(シミュレーター!N21&lt;=0,0,シミュレーター!N21)</f>
        <v>0</v>
      </c>
      <c r="AI4" s="57">
        <f ca="1">IF(シミュレーター!O21&lt;=0,0,シミュレーター!O21)</f>
        <v>0</v>
      </c>
      <c r="AJ4" s="57">
        <f ca="1">IF(シミュレーター!P21&lt;=0,0,シミュレーター!P21)</f>
        <v>0</v>
      </c>
      <c r="AK4" s="57">
        <f ca="1">IF(シミュレーター!Q21&lt;=0,0,シミュレーター!Q21)</f>
        <v>0</v>
      </c>
      <c r="AL4" s="57">
        <f ca="1">IF(シミュレーター!R21&lt;=0,0,シミュレーター!R21)</f>
        <v>0</v>
      </c>
      <c r="AM4" s="57">
        <f ca="1">IF(シミュレーター!S21&lt;=0,0,シミュレーター!S21)</f>
        <v>0</v>
      </c>
      <c r="AN4" s="57">
        <f ca="1">IF(シミュレーター!T21&lt;=0,0,シミュレーター!T21)</f>
        <v>0</v>
      </c>
      <c r="AO4" s="57">
        <f ca="1">IF(シミュレーター!U21&lt;=0,0,シミュレーター!U21)</f>
        <v>0</v>
      </c>
      <c r="AP4" s="57">
        <f ca="1">IF(シミュレーター!V21&lt;=0,0,シミュレーター!V21)</f>
        <v>0</v>
      </c>
      <c r="AQ4" s="57">
        <f ca="1">IF(シミュレーター!W21&lt;=0,0,シミュレーター!W21)</f>
        <v>0</v>
      </c>
      <c r="AR4" s="57">
        <f ca="1">IF(シミュレーター!X21&lt;=0,0,シミュレーター!X21)</f>
        <v>0</v>
      </c>
    </row>
    <row r="5" spans="1:44">
      <c r="A5" s="18" t="s">
        <v>69</v>
      </c>
      <c r="B5" s="14">
        <f>あなたの所得控除情報!E7</f>
        <v>0</v>
      </c>
      <c r="C5" s="14">
        <f t="shared" si="0"/>
        <v>0</v>
      </c>
      <c r="E5" s="18" t="s">
        <v>103</v>
      </c>
      <c r="F5" s="20">
        <f>生命保険料控除!H10</f>
        <v>0</v>
      </c>
      <c r="G5" s="20">
        <f>生命保険料控除!Q10</f>
        <v>0</v>
      </c>
      <c r="H5" s="18">
        <v>0</v>
      </c>
      <c r="J5" s="10" t="s">
        <v>208</v>
      </c>
      <c r="K5" s="14">
        <f ca="1">INDEX(所得税率管理!$B$2:$D$16,COUNTIF(所得税率管理!$B$2:$B$16,"&lt;"&amp;K3)+1,3)</f>
        <v>0</v>
      </c>
      <c r="L5" s="10" t="s">
        <v>206</v>
      </c>
      <c r="N5" s="18" t="s">
        <v>227</v>
      </c>
      <c r="O5" s="14">
        <f ca="1">IF(O4&gt;=O3,0,ROUNDDOWN(O3-O4,-3))</f>
        <v>0</v>
      </c>
      <c r="P5" s="14">
        <f ca="1">IF(P4&gt;=P3,0,ROUNDDOWN(P3-P4,-3))</f>
        <v>0</v>
      </c>
      <c r="R5" s="18" t="s">
        <v>280</v>
      </c>
      <c r="S5" s="14">
        <f ca="1">IF(S4&lt;10000,1000,IF(S4&lt;50000,5000,IF(S4&lt;100000,10000,20000)))</f>
        <v>1000</v>
      </c>
      <c r="U5" s="92"/>
      <c r="V5" s="92"/>
      <c r="W5" s="56" t="s">
        <v>329</v>
      </c>
      <c r="X5" s="57">
        <f ca="1">IF(シミュレーター!D21&lt;=0,ABS(シミュレーター!D21),0)</f>
        <v>0</v>
      </c>
      <c r="Y5" s="57">
        <f ca="1">IF(シミュレーター!E21&lt;=0,ABS(シミュレーター!E21),0)</f>
        <v>0</v>
      </c>
      <c r="Z5" s="57">
        <f ca="1">IF(シミュレーター!F21&lt;=0,ABS(シミュレーター!F21),0)</f>
        <v>0</v>
      </c>
      <c r="AA5" s="57">
        <f ca="1">IF(シミュレーター!G21&lt;=0,ABS(シミュレーター!G21),0)</f>
        <v>0</v>
      </c>
      <c r="AB5" s="57">
        <f ca="1">IF(シミュレーター!H21&lt;=0,ABS(シミュレーター!H21),0)</f>
        <v>0</v>
      </c>
      <c r="AC5" s="57">
        <f ca="1">IF(シミュレーター!I21&lt;=0,ABS(シミュレーター!I21),0)</f>
        <v>0</v>
      </c>
      <c r="AD5" s="57">
        <f ca="1">IF(シミュレーター!J21&lt;=0,ABS(シミュレーター!J21),0)</f>
        <v>0</v>
      </c>
      <c r="AE5" s="57">
        <f ca="1">IF(シミュレーター!K21&lt;=0,ABS(シミュレーター!K21),0)</f>
        <v>0</v>
      </c>
      <c r="AF5" s="57">
        <f ca="1">IF(シミュレーター!L21&lt;=0,ABS(シミュレーター!L21),0)</f>
        <v>0</v>
      </c>
      <c r="AG5" s="57">
        <f ca="1">IF(シミュレーター!M21&lt;=0,ABS(シミュレーター!M21),0)</f>
        <v>0</v>
      </c>
      <c r="AH5" s="57">
        <f ca="1">IF(シミュレーター!N21&lt;=0,ABS(シミュレーター!N21),0)</f>
        <v>0</v>
      </c>
      <c r="AI5" s="57">
        <f ca="1">IF(シミュレーター!O21&lt;=0,ABS(シミュレーター!O21),0)</f>
        <v>0</v>
      </c>
      <c r="AJ5" s="57">
        <f ca="1">IF(シミュレーター!P21&lt;=0,ABS(シミュレーター!P21),0)</f>
        <v>0</v>
      </c>
      <c r="AK5" s="57">
        <f ca="1">IF(シミュレーター!Q21&lt;=0,ABS(シミュレーター!Q21),0)</f>
        <v>0</v>
      </c>
      <c r="AL5" s="57">
        <f ca="1">IF(シミュレーター!R21&lt;=0,ABS(シミュレーター!R21),0)</f>
        <v>0</v>
      </c>
      <c r="AM5" s="57">
        <f ca="1">IF(シミュレーター!S21&lt;=0,ABS(シミュレーター!S21),0)</f>
        <v>0</v>
      </c>
      <c r="AN5" s="57">
        <f ca="1">IF(シミュレーター!T21&lt;=0,ABS(シミュレーター!T21),0)</f>
        <v>0</v>
      </c>
      <c r="AO5" s="57">
        <f ca="1">IF(シミュレーター!U21&lt;=0,ABS(シミュレーター!U21),0)</f>
        <v>0</v>
      </c>
      <c r="AP5" s="57">
        <f ca="1">IF(シミュレーター!V21&lt;=0,ABS(シミュレーター!V21),0)</f>
        <v>0</v>
      </c>
      <c r="AQ5" s="57">
        <f ca="1">IF(シミュレーター!W21&lt;=0,ABS(シミュレーター!W21),0)</f>
        <v>0</v>
      </c>
      <c r="AR5" s="57">
        <f ca="1">IF(シミュレーター!X21&lt;=0,ABS(シミュレーター!X21),0)</f>
        <v>0</v>
      </c>
    </row>
    <row r="6" spans="1:44">
      <c r="A6" s="18" t="s">
        <v>340</v>
      </c>
      <c r="B6" s="14">
        <f>給与所得計算!B12</f>
        <v>0</v>
      </c>
      <c r="C6" s="14">
        <f>B6</f>
        <v>0</v>
      </c>
      <c r="E6" s="24" t="s">
        <v>119</v>
      </c>
      <c r="F6" s="20">
        <f>地震保険料控除!B14</f>
        <v>0</v>
      </c>
      <c r="G6" s="20">
        <f>地震保険料控除!E8</f>
        <v>0</v>
      </c>
      <c r="H6" s="18">
        <v>0</v>
      </c>
      <c r="J6" s="10" t="s">
        <v>209</v>
      </c>
      <c r="K6" s="14">
        <f ca="1">ROUNDDOWN(K3*K4+K5,0)</f>
        <v>0</v>
      </c>
      <c r="L6" s="10" t="s">
        <v>214</v>
      </c>
      <c r="N6" s="18" t="s">
        <v>231</v>
      </c>
      <c r="O6" s="59">
        <v>0.06</v>
      </c>
      <c r="P6" s="59">
        <v>0.04</v>
      </c>
      <c r="R6" s="18" t="s">
        <v>281</v>
      </c>
      <c r="S6" s="10" t="str">
        <f ca="1">IF(S5&lt;5000,"千","万")&amp;"円"</f>
        <v>千円</v>
      </c>
      <c r="U6" s="56" t="s">
        <v>326</v>
      </c>
      <c r="V6" s="87" t="s">
        <v>325</v>
      </c>
      <c r="W6" s="89"/>
      <c r="X6" s="55">
        <f ca="1">シミュレーター!D85</f>
        <v>0</v>
      </c>
      <c r="Y6" s="55">
        <f ca="1">シミュレーター!E85</f>
        <v>0</v>
      </c>
      <c r="Z6" s="55">
        <f ca="1">シミュレーター!F85</f>
        <v>0</v>
      </c>
      <c r="AA6" s="55">
        <f ca="1">シミュレーター!G85</f>
        <v>0</v>
      </c>
      <c r="AB6" s="55">
        <f ca="1">シミュレーター!H85</f>
        <v>0</v>
      </c>
      <c r="AC6" s="55">
        <f ca="1">シミュレーター!I85</f>
        <v>0</v>
      </c>
      <c r="AD6" s="55">
        <f ca="1">シミュレーター!J85</f>
        <v>0</v>
      </c>
      <c r="AE6" s="55">
        <f ca="1">シミュレーター!K85</f>
        <v>0</v>
      </c>
      <c r="AF6" s="55">
        <f ca="1">シミュレーター!L85</f>
        <v>0</v>
      </c>
      <c r="AG6" s="55">
        <f ca="1">シミュレーター!M85</f>
        <v>0</v>
      </c>
      <c r="AH6" s="55">
        <f ca="1">シミュレーター!N85</f>
        <v>0</v>
      </c>
      <c r="AI6" s="55">
        <f ca="1">シミュレーター!O85</f>
        <v>0</v>
      </c>
      <c r="AJ6" s="55">
        <f ca="1">シミュレーター!P85</f>
        <v>0</v>
      </c>
      <c r="AK6" s="55">
        <f ca="1">シミュレーター!Q85</f>
        <v>0</v>
      </c>
      <c r="AL6" s="55">
        <f ca="1">シミュレーター!R85</f>
        <v>0</v>
      </c>
      <c r="AM6" s="55">
        <f ca="1">シミュレーター!S85</f>
        <v>0</v>
      </c>
      <c r="AN6" s="55">
        <f ca="1">シミュレーター!T85</f>
        <v>0</v>
      </c>
      <c r="AO6" s="55">
        <f ca="1">シミュレーター!U85</f>
        <v>0</v>
      </c>
      <c r="AP6" s="55">
        <f ca="1">シミュレーター!V85</f>
        <v>0</v>
      </c>
      <c r="AQ6" s="55">
        <f ca="1">シミュレーター!W85</f>
        <v>0</v>
      </c>
      <c r="AR6" s="55">
        <f ca="1">シミュレーター!X85</f>
        <v>0</v>
      </c>
    </row>
    <row r="7" spans="1:44">
      <c r="A7" s="18" t="s">
        <v>346</v>
      </c>
      <c r="B7" s="14">
        <f ca="1">給与所得計算!B18</f>
        <v>0</v>
      </c>
      <c r="C7" s="14">
        <f ca="1">B7</f>
        <v>0</v>
      </c>
      <c r="E7" s="24" t="s">
        <v>120</v>
      </c>
      <c r="F7" s="20">
        <f ca="1">寡婦ひとり親控除!E7</f>
        <v>0</v>
      </c>
      <c r="G7" s="20">
        <f ca="1">寡婦ひとり親控除!F7</f>
        <v>0</v>
      </c>
      <c r="H7" s="20">
        <f ca="1">寡婦ひとり親控除!G7</f>
        <v>0</v>
      </c>
      <c r="J7" s="17" t="s">
        <v>212</v>
      </c>
      <c r="K7" s="14">
        <f>あなたの所得控除情報!E41</f>
        <v>0</v>
      </c>
      <c r="L7" s="10" t="s">
        <v>215</v>
      </c>
      <c r="N7" s="24" t="s">
        <v>251</v>
      </c>
      <c r="O7" s="19">
        <f ca="1">住民税非課税判定額!$H2</f>
        <v>450000</v>
      </c>
      <c r="P7" s="19">
        <f ca="1">住民税非課税判定額!$H2</f>
        <v>450000</v>
      </c>
      <c r="R7" s="24" t="s">
        <v>332</v>
      </c>
      <c r="S7" s="10" t="str">
        <f ca="1">IF(AND(あなたの所得控除情報!E7="",あなたの所得控除情報!E23=0,申告計算!F17=0,申告計算!F16=0,申告計算!F24=0)=TRUE,"可能","不可")</f>
        <v>可能</v>
      </c>
    </row>
    <row r="8" spans="1:44">
      <c r="A8" s="18" t="s">
        <v>12</v>
      </c>
      <c r="B8" s="14">
        <f ca="1">SUM(B3:B7)</f>
        <v>0</v>
      </c>
      <c r="C8" s="14">
        <f ca="1">SUM(C3:C7)</f>
        <v>0</v>
      </c>
      <c r="E8" s="24" t="s">
        <v>121</v>
      </c>
      <c r="F8" s="20">
        <f ca="1">寡婦ひとり親控除!E8</f>
        <v>0</v>
      </c>
      <c r="G8" s="20">
        <f ca="1">寡婦ひとり親控除!F8</f>
        <v>0</v>
      </c>
      <c r="H8" s="20">
        <f ca="1">寡婦ひとり親控除!G8</f>
        <v>0</v>
      </c>
      <c r="J8" s="17" t="s">
        <v>213</v>
      </c>
      <c r="K8" s="14">
        <f ca="1">IF(K7&gt;=K6,0,K6-K7)</f>
        <v>0</v>
      </c>
      <c r="L8" s="10" t="s">
        <v>216</v>
      </c>
      <c r="N8" s="24" t="s">
        <v>209</v>
      </c>
      <c r="O8" s="19">
        <f ca="1">IF(O7&gt;=O3,0,ROUNDDOWN(O5*O6,0))</f>
        <v>0</v>
      </c>
      <c r="P8" s="19">
        <f ca="1">IF(P7&gt;=P3,0,ROUNDDOWN(P5*P6,0))</f>
        <v>0</v>
      </c>
    </row>
    <row r="9" spans="1:44">
      <c r="E9" s="24" t="s">
        <v>175</v>
      </c>
      <c r="F9" s="20">
        <f>障害者控除!I10</f>
        <v>0</v>
      </c>
      <c r="G9" s="20">
        <f>障害者控除!J10</f>
        <v>0</v>
      </c>
      <c r="H9" s="20">
        <f>障害者控除!K10</f>
        <v>0</v>
      </c>
      <c r="J9" s="17" t="s">
        <v>217</v>
      </c>
      <c r="K9" s="60">
        <v>2.1000000000000001E-2</v>
      </c>
      <c r="L9" s="10" t="s">
        <v>218</v>
      </c>
      <c r="N9" s="24" t="s">
        <v>232</v>
      </c>
      <c r="O9" s="19">
        <f ca="1">$H19</f>
        <v>50000</v>
      </c>
      <c r="P9" s="19">
        <f ca="1">$H19</f>
        <v>50000</v>
      </c>
      <c r="R9" s="25" t="s">
        <v>331</v>
      </c>
    </row>
    <row r="10" spans="1:44">
      <c r="E10" s="24" t="s">
        <v>176</v>
      </c>
      <c r="F10" s="20">
        <f ca="1">勤労学生控除!E6</f>
        <v>0</v>
      </c>
      <c r="G10" s="20">
        <f ca="1">勤労学生控除!F6</f>
        <v>0</v>
      </c>
      <c r="H10" s="20">
        <f ca="1">勤労学生控除!G6</f>
        <v>0</v>
      </c>
      <c r="J10" s="17" t="s">
        <v>219</v>
      </c>
      <c r="K10" s="14">
        <f ca="1">ROUNDDOWN(K8*K9,0)</f>
        <v>0</v>
      </c>
      <c r="L10" s="10" t="s">
        <v>220</v>
      </c>
      <c r="N10" s="62" t="s">
        <v>233</v>
      </c>
      <c r="O10" s="63">
        <f ca="1">IF(O5&lt;=2000000,ROUNDUP(MIN(O9,O5)*0.05,0)*O6/($O6+$P6),MAX(ROUNDUP((O9-(O5-2000000))*0.05,0),2500)*O6/($O6+$P6))</f>
        <v>0</v>
      </c>
      <c r="P10" s="63">
        <f ca="1">IF(P5&lt;=2000000,ROUNDUP(MIN(P9,P5)*0.05,0)*P6/($O6+$P6),MAX(ROUNDUP((P9-(P5-2000000))*0.05,0),2500)*P6/($O6+$P6))</f>
        <v>0</v>
      </c>
      <c r="R10" s="10" t="str">
        <f ca="1">"あなたの合計所得は"&amp;TEXT(B8,"#,##0")&amp;"円で、所得税が"&amp;TEXT(K26,"#,##0")&amp;"円、住民税が"&amp;TEXT(IF(O25&lt;&gt;P27,P27,0),"#,##0")&amp;"円となります。"&amp;IF(AND(O25=P27,O25&gt;0)=TRUE,"ただし、森林環境税[国税]が"&amp;TEXT(P27,"#,##0")&amp;"円となります。","")</f>
        <v>あなたの合計所得は0円で、所得税が0円、住民税が0円となります。</v>
      </c>
      <c r="S10" s="10">
        <v>1</v>
      </c>
    </row>
    <row r="11" spans="1:44">
      <c r="E11" s="24" t="s">
        <v>122</v>
      </c>
      <c r="F11" s="20">
        <f>'配偶者控除(配偶者特別控除)'!H18</f>
        <v>0</v>
      </c>
      <c r="G11" s="20">
        <f>'配偶者控除(配偶者特別控除)'!I18</f>
        <v>0</v>
      </c>
      <c r="H11" s="20">
        <f>'配偶者控除(配偶者特別控除)'!J18</f>
        <v>0</v>
      </c>
      <c r="J11" s="17" t="s">
        <v>221</v>
      </c>
      <c r="K11" s="14">
        <f ca="1">K8+K10</f>
        <v>0</v>
      </c>
      <c r="L11" s="17" t="s">
        <v>222</v>
      </c>
      <c r="N11" s="24" t="s">
        <v>234</v>
      </c>
      <c r="O11" s="39">
        <f ca="1">MAX(O8-O10,0)</f>
        <v>0</v>
      </c>
      <c r="P11" s="39">
        <f ca="1">MAX(P8-P10,0)</f>
        <v>0</v>
      </c>
      <c r="R11" s="10" t="str">
        <f ca="1">IF(S4&gt;2000,"あなたが特例控除を受けられるふるさと納税の限度額は"&amp;TEXT(S4,"#,##0")&amp;"円です。","ふるさと納税をしても寄附金特例控除を受けることはできません。")</f>
        <v>ふるさと納税をしても寄附金特例控除を受けることはできません。</v>
      </c>
      <c r="S11" s="10">
        <v>2</v>
      </c>
    </row>
    <row r="12" spans="1:44">
      <c r="E12" s="24" t="s">
        <v>123</v>
      </c>
      <c r="F12" s="20">
        <f>'配偶者控除(配偶者特別控除)'!P57</f>
        <v>0</v>
      </c>
      <c r="G12" s="20">
        <f>'配偶者控除(配偶者特別控除)'!Q57</f>
        <v>0</v>
      </c>
      <c r="H12" s="20">
        <f>'配偶者控除(配偶者特別控除)'!R57</f>
        <v>0</v>
      </c>
      <c r="J12" s="17" t="s">
        <v>223</v>
      </c>
      <c r="K12" s="14">
        <f>あなたの所得控除情報!E8</f>
        <v>0</v>
      </c>
      <c r="L12" s="10"/>
      <c r="N12" s="24" t="s">
        <v>225</v>
      </c>
      <c r="O12" s="39">
        <f ca="1">$K14</f>
        <v>0</v>
      </c>
      <c r="P12" s="39">
        <f ca="1">$K14</f>
        <v>0</v>
      </c>
      <c r="R12" s="10" t="str">
        <f>IF(O34&gt;2000,"ふるさと納税を"&amp;TEXT(O34,"#,##0")&amp;"円して確定申告すると、"&amp;IF(K13&lt;0,"所得税が"&amp;TEXT(ABS(K13),"#,##0")&amp;"円還付となり、",IF(K13&gt;0,"所得税が"&amp;TEXT(K13,"#,##0")&amp;"円追徴となり、",""))&amp;"住民税が"&amp;TEXT(P27-P47,"#,##0")&amp;"円減額となります。",IF(O34&gt;0,"ふるさと納税を"&amp;TEXT(O34,"#,##0")&amp;"円しても税額に影響しません。",""))</f>
        <v/>
      </c>
      <c r="S12" s="10">
        <v>3</v>
      </c>
    </row>
    <row r="13" spans="1:44">
      <c r="E13" s="24" t="s">
        <v>124</v>
      </c>
      <c r="F13" s="18">
        <f>扶養控除!F11</f>
        <v>0</v>
      </c>
      <c r="G13" s="18">
        <f>扶養控除!G11</f>
        <v>0</v>
      </c>
      <c r="H13" s="18">
        <f>扶養控除!H11</f>
        <v>0</v>
      </c>
      <c r="J13" s="42" t="s">
        <v>224</v>
      </c>
      <c r="K13" s="43">
        <f ca="1">IF(K12&gt;=K11,K11-K12,ROUNDDOWN(K11-K12,-2))</f>
        <v>0</v>
      </c>
      <c r="L13" s="10"/>
      <c r="N13" s="24" t="s">
        <v>236</v>
      </c>
      <c r="O13" s="19">
        <f ca="1">MIN(ROUNDUP(O3*0.05,0),97500)</f>
        <v>0</v>
      </c>
      <c r="P13" s="19">
        <f ca="1">MIN(ROUNDUP(P3*0.05,0),97500)</f>
        <v>0</v>
      </c>
      <c r="R13" s="10" t="str">
        <f ca="1">IF(S7="不可","あなたは申告しないといけない所得・控除があるため、ワンストップ特例の対象外となります。",IF(O34&gt;2000,"ふるさと納税を"&amp;TEXT(O34,"#,##0")&amp;"円してワンストップ特例申請すると、住民税が"&amp;TEXT(P27-P69,"#,##0")&amp;"円減額となります。",IF(O34&gt;0,"ふるさと納税を"&amp;TEXT(O34,"#,##0")&amp;"円しても税額に影響しません。","")))</f>
        <v/>
      </c>
      <c r="S13" s="10">
        <v>4</v>
      </c>
    </row>
    <row r="14" spans="1:44">
      <c r="E14" s="24" t="s">
        <v>141</v>
      </c>
      <c r="F14" s="20">
        <f ca="1">基礎控除!H10</f>
        <v>480000</v>
      </c>
      <c r="G14" s="20">
        <f ca="1">基礎控除!I10</f>
        <v>430000</v>
      </c>
      <c r="H14" s="20">
        <f ca="1">基礎控除!J10</f>
        <v>50000</v>
      </c>
      <c r="J14" s="24" t="s">
        <v>225</v>
      </c>
      <c r="K14" s="27">
        <f ca="1">IF(K7&gt;=K6,K7-K6,0)</f>
        <v>0</v>
      </c>
      <c r="L14" s="18"/>
      <c r="N14" s="62" t="s">
        <v>235</v>
      </c>
      <c r="O14" s="64">
        <f ca="1">MIN(O12,O13)*O6/($O6+$P6)</f>
        <v>0</v>
      </c>
      <c r="P14" s="64">
        <f ca="1">MIN(P12,P13)*P6/($O6+$P6)</f>
        <v>0</v>
      </c>
      <c r="R14" s="10" t="str">
        <f ca="1">IF(S7="不可","",IF(AND(O34&gt;0,K13&lt;0)=TRUE,"※ただし、ワンストップ特例では所得税"&amp;TEXT(ABS(K13),"#,##0")&amp;"円の還付は受けられません。",""))</f>
        <v/>
      </c>
      <c r="S14" s="10">
        <v>5</v>
      </c>
    </row>
    <row r="15" spans="1:44">
      <c r="E15" s="24" t="s">
        <v>142</v>
      </c>
      <c r="F15" s="20">
        <f ca="1">SUM(F3:F14)</f>
        <v>480000</v>
      </c>
      <c r="G15" s="20">
        <f ca="1">SUM(G3:G14)</f>
        <v>430000</v>
      </c>
      <c r="H15" s="20">
        <f ca="1">SUM(H3:H14)</f>
        <v>50000</v>
      </c>
      <c r="N15" s="24" t="s">
        <v>259</v>
      </c>
      <c r="O15" s="39">
        <f>あなたの所得控除情報!E48+あなたの所得控除情報!E49</f>
        <v>0</v>
      </c>
      <c r="P15" s="39">
        <f>あなたの所得控除情報!E47+あなたの所得控除情報!E49</f>
        <v>0</v>
      </c>
      <c r="R15" s="100" t="s">
        <v>350</v>
      </c>
      <c r="S15" s="100"/>
    </row>
    <row r="16" spans="1:44" ht="13.5" customHeight="1">
      <c r="E16" s="24" t="s">
        <v>143</v>
      </c>
      <c r="F16" s="20">
        <f>あなたの所得控除情報!E50</f>
        <v>0</v>
      </c>
      <c r="G16" s="20">
        <f>F16</f>
        <v>0</v>
      </c>
      <c r="H16" s="18">
        <v>0</v>
      </c>
      <c r="J16" t="s">
        <v>226</v>
      </c>
      <c r="N16" s="24" t="s">
        <v>260</v>
      </c>
      <c r="O16" s="39">
        <f ca="1">ROUNDUP(O3*0.3,0)</f>
        <v>0</v>
      </c>
      <c r="P16" s="39">
        <f ca="1">ROUNDUP(P3*0.3,0)</f>
        <v>0</v>
      </c>
      <c r="R16" s="94" t="str">
        <f ca="1">R10&amp;IF(R11="","",CHAR(10)&amp;R11)&amp;IF(R12="","",CHAR(10)&amp;R12)&amp;IF(R13="","",CHAR(10)&amp;R13)&amp;IF(R14="","",CHAR(10)&amp;R14)</f>
        <v>あなたの合計所得は0円で、所得税が0円、住民税が0円となります。
ふるさと納税をしても寄附金特例控除を受けることはできません。</v>
      </c>
      <c r="S16" s="95"/>
    </row>
    <row r="17" spans="5:19">
      <c r="E17" s="24" t="s">
        <v>170</v>
      </c>
      <c r="F17" s="20">
        <f ca="1">医療費控除!K2</f>
        <v>0</v>
      </c>
      <c r="G17" s="20">
        <f ca="1">医療費控除!L2</f>
        <v>0</v>
      </c>
      <c r="H17" s="20">
        <f>医療費控除!M2</f>
        <v>0</v>
      </c>
      <c r="J17" s="24" t="s">
        <v>200</v>
      </c>
      <c r="K17" s="24" t="s">
        <v>210</v>
      </c>
      <c r="L17" s="24" t="s">
        <v>211</v>
      </c>
      <c r="N17" s="62" t="s">
        <v>261</v>
      </c>
      <c r="O17" s="64">
        <f ca="1">MAX(ROUNDUP((MIN(O15,O16)-2000)*O6,0),0)</f>
        <v>0</v>
      </c>
      <c r="P17" s="64">
        <f ca="1">MAX(ROUNDUP((MIN(P15,P16)-2000)*P6,0),0)</f>
        <v>0</v>
      </c>
      <c r="R17" s="96"/>
      <c r="S17" s="97"/>
    </row>
    <row r="18" spans="5:19">
      <c r="E18" s="24" t="s">
        <v>190</v>
      </c>
      <c r="F18" s="20">
        <f ca="1">寄附金控除!E8</f>
        <v>0</v>
      </c>
      <c r="G18" s="18">
        <v>0</v>
      </c>
      <c r="H18" s="18">
        <v>0</v>
      </c>
      <c r="J18" s="10" t="s">
        <v>201</v>
      </c>
      <c r="K18" s="11">
        <f ca="1">IF(F25&gt;=B8,0,ROUNDDOWN(B8-F25,-3))</f>
        <v>0</v>
      </c>
      <c r="L18" s="10" t="s">
        <v>204</v>
      </c>
      <c r="N18" s="35" t="s">
        <v>262</v>
      </c>
      <c r="O18" s="37">
        <f ca="1">IF(O14+O17&gt;=O11,0,ROUNDDOWN(O11-O14-O17,-2))</f>
        <v>0</v>
      </c>
      <c r="P18" s="37">
        <f ca="1">IF(P14+P17&gt;=P11,0,ROUNDDOWN(P11-P14-P17,-2))</f>
        <v>0</v>
      </c>
      <c r="R18" s="96"/>
      <c r="S18" s="97"/>
    </row>
    <row r="19" spans="5:19">
      <c r="E19" s="24" t="s">
        <v>191</v>
      </c>
      <c r="F19" s="20">
        <f ca="1">SUM(F15:F18)</f>
        <v>480000</v>
      </c>
      <c r="G19" s="20">
        <f t="shared" ref="G19:H19" ca="1" si="1">SUM(G15:G18)</f>
        <v>430000</v>
      </c>
      <c r="H19" s="20">
        <f t="shared" ca="1" si="1"/>
        <v>50000</v>
      </c>
      <c r="J19" s="10" t="s">
        <v>207</v>
      </c>
      <c r="K19" s="33">
        <f ca="1">INDEX(所得税率管理!$B$2:$D$16,COUNTIF(所得税率管理!$B$2:$B$16,"&lt;"&amp;K18)+1,2)</f>
        <v>0.05</v>
      </c>
      <c r="L19" s="10" t="s">
        <v>205</v>
      </c>
      <c r="N19" s="24" t="s">
        <v>254</v>
      </c>
      <c r="O19" s="28">
        <v>3000</v>
      </c>
      <c r="P19" s="28">
        <v>1000</v>
      </c>
      <c r="R19" s="96"/>
      <c r="S19" s="97"/>
    </row>
    <row r="20" spans="5:19">
      <c r="J20" s="10" t="s">
        <v>208</v>
      </c>
      <c r="K20" s="14">
        <f ca="1">INDEX(所得税率管理!$B$2:$D$16,COUNTIF(所得税率管理!$B$2:$B$16,"&lt;"&amp;K18)+1,3)</f>
        <v>0</v>
      </c>
      <c r="L20" s="10" t="s">
        <v>206</v>
      </c>
      <c r="N20" s="24" t="s">
        <v>255</v>
      </c>
      <c r="O20" s="28">
        <v>0</v>
      </c>
      <c r="P20" s="28">
        <v>1000</v>
      </c>
      <c r="R20" s="98"/>
      <c r="S20" s="99"/>
    </row>
    <row r="21" spans="5:19">
      <c r="E21" s="25" t="s">
        <v>192</v>
      </c>
      <c r="J21" s="10" t="s">
        <v>209</v>
      </c>
      <c r="K21" s="14">
        <f ca="1">ROUNDDOWN(K18*K19+K20,0)</f>
        <v>0</v>
      </c>
      <c r="L21" s="10" t="s">
        <v>214</v>
      </c>
      <c r="N21" s="24" t="s">
        <v>252</v>
      </c>
      <c r="O21" s="11">
        <f ca="1">住民税非課税判定額!$H3</f>
        <v>390000</v>
      </c>
      <c r="P21" s="11">
        <f ca="1">住民税非課税判定額!$H3</f>
        <v>390000</v>
      </c>
    </row>
    <row r="22" spans="5:19">
      <c r="E22" s="18" t="s">
        <v>66</v>
      </c>
      <c r="F22" s="18" t="s">
        <v>70</v>
      </c>
      <c r="G22" s="18" t="s">
        <v>71</v>
      </c>
      <c r="H22" s="24" t="s">
        <v>135</v>
      </c>
      <c r="J22" s="17" t="s">
        <v>212</v>
      </c>
      <c r="K22" s="14">
        <f>あなたの所得控除情報!E41</f>
        <v>0</v>
      </c>
      <c r="L22" s="10" t="s">
        <v>215</v>
      </c>
      <c r="N22" s="35" t="s">
        <v>253</v>
      </c>
      <c r="O22" s="37">
        <f ca="1">IF(O21&gt;=O3,0,SUM(O19:O20))</f>
        <v>0</v>
      </c>
      <c r="P22" s="37">
        <f ca="1">IF(P21&gt;=P3,0,SUM(P19:P20))</f>
        <v>0</v>
      </c>
    </row>
    <row r="23" spans="5:19">
      <c r="E23" s="24" t="s">
        <v>193</v>
      </c>
      <c r="F23" s="11">
        <f ca="1">SUM(F15:F17)</f>
        <v>480000</v>
      </c>
      <c r="G23" s="11">
        <f t="shared" ref="G23:H23" ca="1" si="2">SUM(G15:G17)</f>
        <v>430000</v>
      </c>
      <c r="H23" s="11">
        <f t="shared" ca="1" si="2"/>
        <v>50000</v>
      </c>
      <c r="J23" s="17" t="s">
        <v>213</v>
      </c>
      <c r="K23" s="14">
        <f ca="1">IF(K22&gt;=K21,0,K21-K22)</f>
        <v>0</v>
      </c>
      <c r="L23" s="10" t="s">
        <v>216</v>
      </c>
      <c r="N23" s="24" t="s">
        <v>256</v>
      </c>
      <c r="O23" s="28">
        <v>1000</v>
      </c>
      <c r="P23" s="28">
        <v>0</v>
      </c>
    </row>
    <row r="24" spans="5:19">
      <c r="E24" s="24" t="s">
        <v>194</v>
      </c>
      <c r="F24" s="11">
        <f ca="1">寄附金控除!E16</f>
        <v>0</v>
      </c>
      <c r="G24" s="10">
        <v>0</v>
      </c>
      <c r="H24" s="10">
        <v>0</v>
      </c>
      <c r="J24" s="17" t="s">
        <v>217</v>
      </c>
      <c r="K24" s="34">
        <f>K9</f>
        <v>2.1000000000000001E-2</v>
      </c>
      <c r="L24" s="10" t="s">
        <v>218</v>
      </c>
      <c r="N24" s="24" t="s">
        <v>257</v>
      </c>
      <c r="O24" s="11">
        <f ca="1">住民税非課税判定額!$H4</f>
        <v>380000</v>
      </c>
      <c r="P24" s="11">
        <f ca="1">住民税非課税判定額!$H4</f>
        <v>380000</v>
      </c>
    </row>
    <row r="25" spans="5:19">
      <c r="E25" s="24" t="s">
        <v>191</v>
      </c>
      <c r="F25" s="11">
        <f ca="1">SUM(F23:F24)</f>
        <v>480000</v>
      </c>
      <c r="G25" s="11">
        <f t="shared" ref="G25:H25" ca="1" si="3">SUM(G23:G24)</f>
        <v>430000</v>
      </c>
      <c r="H25" s="11">
        <f t="shared" ca="1" si="3"/>
        <v>50000</v>
      </c>
      <c r="J25" s="17" t="s">
        <v>219</v>
      </c>
      <c r="K25" s="14">
        <f ca="1">ROUNDDOWN(K23*K24,0)</f>
        <v>0</v>
      </c>
      <c r="L25" s="10" t="s">
        <v>220</v>
      </c>
      <c r="N25" s="35" t="s">
        <v>263</v>
      </c>
      <c r="O25" s="37">
        <f ca="1">IF(O24&gt;=O3,0,O23)</f>
        <v>0</v>
      </c>
      <c r="P25" s="37">
        <f ca="1">IF(P24&gt;=P3,0,P23)</f>
        <v>0</v>
      </c>
    </row>
    <row r="26" spans="5:19">
      <c r="J26" s="42" t="s">
        <v>221</v>
      </c>
      <c r="K26" s="43">
        <f ca="1">ROUNDDOWN(K23+K25,-2)</f>
        <v>0</v>
      </c>
      <c r="L26" s="17" t="s">
        <v>222</v>
      </c>
      <c r="N26" s="35" t="s">
        <v>264</v>
      </c>
      <c r="O26" s="36">
        <f ca="1">O18+O22+O25</f>
        <v>0</v>
      </c>
      <c r="P26" s="36">
        <f ca="1">P18+P22+P25</f>
        <v>0</v>
      </c>
    </row>
    <row r="27" spans="5:19">
      <c r="J27" s="17" t="s">
        <v>223</v>
      </c>
      <c r="K27" s="14">
        <f>K12</f>
        <v>0</v>
      </c>
      <c r="L27" s="10"/>
      <c r="N27" s="90" t="s">
        <v>265</v>
      </c>
      <c r="O27" s="90"/>
      <c r="P27" s="38">
        <f ca="1">O26+P26</f>
        <v>0</v>
      </c>
    </row>
    <row r="28" spans="5:19">
      <c r="J28" s="17" t="s">
        <v>224</v>
      </c>
      <c r="K28" s="14">
        <f ca="1">IF(K27&gt;=K26,K26-K27,ROUNDDOWN(K26-K27,-2))</f>
        <v>0</v>
      </c>
      <c r="L28" s="10"/>
    </row>
    <row r="29" spans="5:19">
      <c r="J29" s="24" t="s">
        <v>225</v>
      </c>
      <c r="K29" s="27">
        <f ca="1">IF(K22&gt;=K21,K22-K21,0)</f>
        <v>0</v>
      </c>
      <c r="L29" s="18"/>
      <c r="N29" t="s">
        <v>271</v>
      </c>
    </row>
    <row r="30" spans="5:19">
      <c r="N30" s="24" t="s">
        <v>200</v>
      </c>
      <c r="O30" s="24" t="s">
        <v>229</v>
      </c>
      <c r="P30" s="24" t="s">
        <v>230</v>
      </c>
    </row>
    <row r="31" spans="5:19">
      <c r="N31" s="18" t="s">
        <v>234</v>
      </c>
      <c r="O31" s="11">
        <f ca="1">O11</f>
        <v>0</v>
      </c>
      <c r="P31" s="11">
        <f ca="1">P11</f>
        <v>0</v>
      </c>
    </row>
    <row r="32" spans="5:19">
      <c r="N32" s="62" t="s">
        <v>235</v>
      </c>
      <c r="O32" s="64">
        <f ca="1">O14</f>
        <v>0</v>
      </c>
      <c r="P32" s="64">
        <f ca="1">P14</f>
        <v>0</v>
      </c>
    </row>
    <row r="33" spans="14:16">
      <c r="N33" s="18" t="s">
        <v>259</v>
      </c>
      <c r="O33" s="11">
        <f>O15</f>
        <v>0</v>
      </c>
      <c r="P33" s="11">
        <f>P15</f>
        <v>0</v>
      </c>
    </row>
    <row r="34" spans="14:16">
      <c r="N34" s="18" t="s">
        <v>266</v>
      </c>
      <c r="O34" s="11">
        <f>あなたの所得控除情報!$E9</f>
        <v>0</v>
      </c>
      <c r="P34" s="11">
        <f>あなたの所得控除情報!$E9</f>
        <v>0</v>
      </c>
    </row>
    <row r="35" spans="14:16">
      <c r="N35" s="18" t="s">
        <v>267</v>
      </c>
      <c r="O35" s="11">
        <f>O33+O34</f>
        <v>0</v>
      </c>
      <c r="P35" s="11">
        <f>P33+P34</f>
        <v>0</v>
      </c>
    </row>
    <row r="36" spans="14:16">
      <c r="N36" s="18" t="s">
        <v>260</v>
      </c>
      <c r="O36" s="11">
        <f ca="1">O16</f>
        <v>0</v>
      </c>
      <c r="P36" s="11">
        <f ca="1">P16</f>
        <v>0</v>
      </c>
    </row>
    <row r="37" spans="14:16">
      <c r="N37" s="18" t="s">
        <v>268</v>
      </c>
      <c r="O37" s="11">
        <f ca="1">MAX(ROUNDUP((MIN(O35,O36)-2000)*O$6,0),0)</f>
        <v>0</v>
      </c>
      <c r="P37" s="11">
        <f ca="1">MAX(ROUNDUP((MIN(P35,P36)-2000)*P$6,0),0)</f>
        <v>0</v>
      </c>
    </row>
    <row r="38" spans="14:16">
      <c r="N38" s="24" t="s">
        <v>207</v>
      </c>
      <c r="O38" s="40">
        <f ca="1">$K4</f>
        <v>0.05</v>
      </c>
      <c r="P38" s="40">
        <f ca="1">$K4</f>
        <v>0.05</v>
      </c>
    </row>
    <row r="39" spans="14:16">
      <c r="N39" s="18" t="s">
        <v>217</v>
      </c>
      <c r="O39" s="41">
        <f>$K9</f>
        <v>2.1000000000000001E-2</v>
      </c>
      <c r="P39" s="41">
        <f>$K9</f>
        <v>2.1000000000000001E-2</v>
      </c>
    </row>
    <row r="40" spans="14:16">
      <c r="N40" s="18" t="s">
        <v>237</v>
      </c>
      <c r="O40" s="14">
        <f ca="1">ROUNDUP(O31*0.2,0)</f>
        <v>0</v>
      </c>
      <c r="P40" s="14">
        <f ca="1">ROUNDUP(P31*0.2,0)</f>
        <v>0</v>
      </c>
    </row>
    <row r="41" spans="14:16">
      <c r="N41" s="18" t="s">
        <v>269</v>
      </c>
      <c r="O41" s="14">
        <f ca="1">MAX(MIN(ROUNDUP((O34-2000)*(0.9-O38*(1+O39))*O$6/($O$6+$P$6),0),O40),0)</f>
        <v>0</v>
      </c>
      <c r="P41" s="14">
        <f ca="1">MAX(MIN(ROUNDUP((P34-2000)*(0.9-P38*(1+P39))*P$6/($O$6+$P$6),0),P40),0)</f>
        <v>0</v>
      </c>
    </row>
    <row r="42" spans="14:16">
      <c r="N42" s="62" t="s">
        <v>270</v>
      </c>
      <c r="O42" s="64">
        <f ca="1">O37+O41</f>
        <v>0</v>
      </c>
      <c r="P42" s="64">
        <f ca="1">P37+P41</f>
        <v>0</v>
      </c>
    </row>
    <row r="43" spans="14:16">
      <c r="N43" s="35" t="s">
        <v>262</v>
      </c>
      <c r="O43" s="37">
        <f ca="1">IF(O32+O42&gt;=O31,0,ROUNDDOWN(O31-O32-O42,-2))</f>
        <v>0</v>
      </c>
      <c r="P43" s="37">
        <f ca="1">IF(P32+P42&gt;=P31,0,ROUNDDOWN(P31-P32-P42,-2))</f>
        <v>0</v>
      </c>
    </row>
    <row r="44" spans="14:16">
      <c r="N44" s="35" t="s">
        <v>253</v>
      </c>
      <c r="O44" s="36">
        <f ca="1">O22</f>
        <v>0</v>
      </c>
      <c r="P44" s="36">
        <f ca="1">P22</f>
        <v>0</v>
      </c>
    </row>
    <row r="45" spans="14:16">
      <c r="N45" s="35" t="s">
        <v>263</v>
      </c>
      <c r="O45" s="36">
        <f ca="1">O25</f>
        <v>0</v>
      </c>
      <c r="P45" s="36">
        <f ca="1">P25</f>
        <v>0</v>
      </c>
    </row>
    <row r="46" spans="14:16">
      <c r="N46" s="35" t="s">
        <v>264</v>
      </c>
      <c r="O46" s="36">
        <f ca="1">SUM(O43:O45)</f>
        <v>0</v>
      </c>
      <c r="P46" s="36">
        <f ca="1">SUM(P43:P45)</f>
        <v>0</v>
      </c>
    </row>
    <row r="47" spans="14:16">
      <c r="N47" s="90" t="s">
        <v>265</v>
      </c>
      <c r="O47" s="90"/>
      <c r="P47" s="38">
        <f ca="1">O46+P46</f>
        <v>0</v>
      </c>
    </row>
    <row r="49" spans="14:16">
      <c r="N49" t="s">
        <v>272</v>
      </c>
    </row>
    <row r="50" spans="14:16">
      <c r="N50" s="24" t="s">
        <v>200</v>
      </c>
      <c r="O50" s="24" t="s">
        <v>229</v>
      </c>
      <c r="P50" s="24" t="s">
        <v>230</v>
      </c>
    </row>
    <row r="51" spans="14:16">
      <c r="N51" s="10" t="s">
        <v>234</v>
      </c>
      <c r="O51" s="11">
        <f ca="1">O11</f>
        <v>0</v>
      </c>
      <c r="P51" s="11">
        <f ca="1">P11</f>
        <v>0</v>
      </c>
    </row>
    <row r="52" spans="14:16">
      <c r="N52" s="65" t="s">
        <v>235</v>
      </c>
      <c r="O52" s="64">
        <f ca="1">O14</f>
        <v>0</v>
      </c>
      <c r="P52" s="64">
        <f ca="1">P14</f>
        <v>0</v>
      </c>
    </row>
    <row r="53" spans="14:16">
      <c r="N53" s="10" t="s">
        <v>259</v>
      </c>
      <c r="O53" s="11">
        <f>O33</f>
        <v>0</v>
      </c>
      <c r="P53" s="11">
        <f>P33</f>
        <v>0</v>
      </c>
    </row>
    <row r="54" spans="14:16">
      <c r="N54" s="10" t="s">
        <v>266</v>
      </c>
      <c r="O54" s="11">
        <f>O34</f>
        <v>0</v>
      </c>
      <c r="P54" s="11">
        <f>P34</f>
        <v>0</v>
      </c>
    </row>
    <row r="55" spans="14:16">
      <c r="N55" s="10" t="s">
        <v>267</v>
      </c>
      <c r="O55" s="11">
        <f>SUM(O53:O54)</f>
        <v>0</v>
      </c>
      <c r="P55" s="11">
        <f>SUM(P53:P54)</f>
        <v>0</v>
      </c>
    </row>
    <row r="56" spans="14:16">
      <c r="N56" s="10" t="s">
        <v>260</v>
      </c>
      <c r="O56" s="11">
        <f ca="1">O16</f>
        <v>0</v>
      </c>
      <c r="P56" s="11">
        <f ca="1">P16</f>
        <v>0</v>
      </c>
    </row>
    <row r="57" spans="14:16">
      <c r="N57" s="10" t="s">
        <v>268</v>
      </c>
      <c r="O57" s="11">
        <f ca="1">MAX(ROUNDUP((MIN(O55,O56)-2000)*O$6,0),0)</f>
        <v>0</v>
      </c>
      <c r="P57" s="11">
        <f ca="1">MAX(ROUNDUP((MIN(P55,P56)-2000)*P$6,0),0)</f>
        <v>0</v>
      </c>
    </row>
    <row r="58" spans="14:16">
      <c r="N58" s="10" t="s">
        <v>207</v>
      </c>
      <c r="O58" s="40">
        <f ca="1">K19</f>
        <v>0.05</v>
      </c>
      <c r="P58" s="40">
        <f ca="1">O58</f>
        <v>0.05</v>
      </c>
    </row>
    <row r="59" spans="14:16">
      <c r="N59" s="10" t="s">
        <v>217</v>
      </c>
      <c r="O59" s="41">
        <f>O39</f>
        <v>2.1000000000000001E-2</v>
      </c>
      <c r="P59" s="41">
        <f>P39</f>
        <v>2.1000000000000001E-2</v>
      </c>
    </row>
    <row r="60" spans="14:16">
      <c r="N60" s="10" t="s">
        <v>237</v>
      </c>
      <c r="O60" s="14">
        <f ca="1">ROUNDUP(O51*0.2,0)</f>
        <v>0</v>
      </c>
      <c r="P60" s="14">
        <f ca="1">ROUNDUP(P51*0.2,0)</f>
        <v>0</v>
      </c>
    </row>
    <row r="61" spans="14:16">
      <c r="N61" s="18" t="s">
        <v>269</v>
      </c>
      <c r="O61" s="14">
        <f ca="1">MAX(MIN(ROUNDUP((O54-2000)*(0.9-O58*(1+O59))*O$6/($O$6+$P$6),0),O60),0)</f>
        <v>0</v>
      </c>
      <c r="P61" s="14">
        <f ca="1">MAX(MIN(ROUNDUP((P54-2000)*(0.9-P58*(1+P59))*P$6/($O$6+$P$6),0),P60),0)</f>
        <v>0</v>
      </c>
    </row>
    <row r="62" spans="14:16">
      <c r="N62" s="17" t="s">
        <v>273</v>
      </c>
      <c r="O62" s="10">
        <f ca="1">INDEX(申告特例控除率管理!$B$2:$D$16,COUNTIF(申告特例控除率管理!$B$2:$B$16,"&lt;"&amp;$K18)+1,2)</f>
        <v>6.0133105601036581E-2</v>
      </c>
      <c r="P62" s="10">
        <f ca="1">INDEX(申告特例控除率管理!$B$2:$D$16,COUNTIF(申告特例控除率管理!$B$2:$B$16,"&lt;"&amp;$K18)+1,2)</f>
        <v>6.0133105601036581E-2</v>
      </c>
    </row>
    <row r="63" spans="14:16">
      <c r="N63" s="17" t="s">
        <v>274</v>
      </c>
      <c r="O63" s="14">
        <f ca="1">ROUNDUP(O61*O62,0)</f>
        <v>0</v>
      </c>
      <c r="P63" s="14">
        <f ca="1">ROUNDUP(P61*P62,0)</f>
        <v>0</v>
      </c>
    </row>
    <row r="64" spans="14:16">
      <c r="N64" s="62" t="s">
        <v>270</v>
      </c>
      <c r="O64" s="63">
        <f ca="1">O57+O61+O63</f>
        <v>0</v>
      </c>
      <c r="P64" s="63">
        <f ca="1">P57+P61+P63</f>
        <v>0</v>
      </c>
    </row>
    <row r="65" spans="14:16">
      <c r="N65" s="35" t="s">
        <v>262</v>
      </c>
      <c r="O65" s="37">
        <f ca="1">IF(O52+O64&gt;=O51,0,ROUNDDOWN(O51-O52-O64,-2))</f>
        <v>0</v>
      </c>
      <c r="P65" s="37">
        <f ca="1">IF(P52+P64&gt;=P51,0,ROUNDDOWN(P51-P52-P64,-2))</f>
        <v>0</v>
      </c>
    </row>
    <row r="66" spans="14:16">
      <c r="N66" s="35" t="s">
        <v>253</v>
      </c>
      <c r="O66" s="36">
        <f ca="1">O44</f>
        <v>0</v>
      </c>
      <c r="P66" s="36">
        <f ca="1">P44</f>
        <v>0</v>
      </c>
    </row>
    <row r="67" spans="14:16">
      <c r="N67" s="35" t="s">
        <v>263</v>
      </c>
      <c r="O67" s="36">
        <f t="shared" ref="O67:P67" ca="1" si="4">O45</f>
        <v>0</v>
      </c>
      <c r="P67" s="36">
        <f t="shared" ca="1" si="4"/>
        <v>0</v>
      </c>
    </row>
    <row r="68" spans="14:16">
      <c r="N68" s="35" t="s">
        <v>264</v>
      </c>
      <c r="O68" s="36">
        <f ca="1">SUM(O65:O67)</f>
        <v>0</v>
      </c>
      <c r="P68" s="36">
        <f ca="1">SUM(P65:P67)</f>
        <v>0</v>
      </c>
    </row>
    <row r="69" spans="14:16">
      <c r="N69" s="90" t="s">
        <v>265</v>
      </c>
      <c r="O69" s="90"/>
      <c r="P69" s="38">
        <f ca="1">O68+P68</f>
        <v>0</v>
      </c>
    </row>
  </sheetData>
  <sheetProtection sheet="1" selectLockedCells="1"/>
  <mergeCells count="10">
    <mergeCell ref="U2:W2"/>
    <mergeCell ref="N27:O27"/>
    <mergeCell ref="N47:O47"/>
    <mergeCell ref="N69:O69"/>
    <mergeCell ref="V4:V5"/>
    <mergeCell ref="U3:U5"/>
    <mergeCell ref="V6:W6"/>
    <mergeCell ref="V3:W3"/>
    <mergeCell ref="R16:S20"/>
    <mergeCell ref="R15:S15"/>
  </mergeCells>
  <phoneticPr fontId="4"/>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474F5-56DC-4454-8BFF-A2B008D24C7E}">
  <sheetPr>
    <tabColor theme="4" tint="0.59999389629810485"/>
  </sheetPr>
  <dimension ref="A1:X85"/>
  <sheetViews>
    <sheetView workbookViewId="0">
      <pane ySplit="1" topLeftCell="A2" activePane="bottomLeft" state="frozen"/>
      <selection pane="bottomLeft" activeCell="G33" sqref="G33"/>
    </sheetView>
  </sheetViews>
  <sheetFormatPr defaultRowHeight="13.5"/>
  <cols>
    <col min="3" max="3" width="15" customWidth="1"/>
    <col min="4" max="24" width="8.75" style="21" customWidth="1"/>
  </cols>
  <sheetData>
    <row r="1" spans="1:24">
      <c r="A1" s="101" t="s">
        <v>9</v>
      </c>
      <c r="B1" s="101"/>
      <c r="C1" s="102"/>
      <c r="D1" s="27">
        <v>0</v>
      </c>
      <c r="E1" s="27">
        <f ca="1">D1+申告計算!$S5</f>
        <v>1000</v>
      </c>
      <c r="F1" s="27">
        <f ca="1">E1+申告計算!$S5</f>
        <v>2000</v>
      </c>
      <c r="G1" s="27">
        <f ca="1">F1+申告計算!$S5</f>
        <v>3000</v>
      </c>
      <c r="H1" s="27">
        <f ca="1">G1+申告計算!$S5</f>
        <v>4000</v>
      </c>
      <c r="I1" s="27">
        <f ca="1">H1+申告計算!$S5</f>
        <v>5000</v>
      </c>
      <c r="J1" s="27">
        <f ca="1">I1+申告計算!$S5</f>
        <v>6000</v>
      </c>
      <c r="K1" s="27">
        <f ca="1">J1+申告計算!$S5</f>
        <v>7000</v>
      </c>
      <c r="L1" s="27">
        <f ca="1">K1+申告計算!$S5</f>
        <v>8000</v>
      </c>
      <c r="M1" s="27">
        <f ca="1">L1+申告計算!$S5</f>
        <v>9000</v>
      </c>
      <c r="N1" s="27">
        <f ca="1">M1+申告計算!$S5</f>
        <v>10000</v>
      </c>
      <c r="O1" s="27">
        <f ca="1">N1+申告計算!$S5</f>
        <v>11000</v>
      </c>
      <c r="P1" s="27">
        <f ca="1">O1+申告計算!$S5</f>
        <v>12000</v>
      </c>
      <c r="Q1" s="27">
        <f ca="1">P1+申告計算!$S5</f>
        <v>13000</v>
      </c>
      <c r="R1" s="27">
        <f ca="1">Q1+申告計算!$S5</f>
        <v>14000</v>
      </c>
      <c r="S1" s="27">
        <f ca="1">R1+申告計算!$S5</f>
        <v>15000</v>
      </c>
      <c r="T1" s="27">
        <f ca="1">S1+申告計算!$S5</f>
        <v>16000</v>
      </c>
      <c r="U1" s="27">
        <f ca="1">T1+申告計算!$S5</f>
        <v>17000</v>
      </c>
      <c r="V1" s="27">
        <f ca="1">U1+申告計算!$S5</f>
        <v>18000</v>
      </c>
      <c r="W1" s="27">
        <f ca="1">V1+申告計算!$S5</f>
        <v>19000</v>
      </c>
      <c r="X1" s="27">
        <f ca="1">W1+申告計算!$S5</f>
        <v>20000</v>
      </c>
    </row>
    <row r="2" spans="1:24">
      <c r="C2" s="18" t="s">
        <v>285</v>
      </c>
      <c r="D2" s="44" t="str">
        <f ca="1">申告計算!$S6</f>
        <v>千円</v>
      </c>
      <c r="E2" s="44" t="str">
        <f ca="1">申告計算!$S6</f>
        <v>千円</v>
      </c>
      <c r="F2" s="44" t="str">
        <f ca="1">申告計算!$S6</f>
        <v>千円</v>
      </c>
      <c r="G2" s="44" t="str">
        <f ca="1">申告計算!$S6</f>
        <v>千円</v>
      </c>
      <c r="H2" s="44" t="str">
        <f ca="1">申告計算!$S6</f>
        <v>千円</v>
      </c>
      <c r="I2" s="44" t="str">
        <f ca="1">申告計算!$S6</f>
        <v>千円</v>
      </c>
      <c r="J2" s="44" t="str">
        <f ca="1">申告計算!$S6</f>
        <v>千円</v>
      </c>
      <c r="K2" s="44" t="str">
        <f ca="1">申告計算!$S6</f>
        <v>千円</v>
      </c>
      <c r="L2" s="44" t="str">
        <f ca="1">申告計算!$S6</f>
        <v>千円</v>
      </c>
      <c r="M2" s="44" t="str">
        <f ca="1">申告計算!$S6</f>
        <v>千円</v>
      </c>
      <c r="N2" s="44" t="str">
        <f ca="1">申告計算!$S6</f>
        <v>千円</v>
      </c>
      <c r="O2" s="44" t="str">
        <f ca="1">申告計算!$S6</f>
        <v>千円</v>
      </c>
      <c r="P2" s="44" t="str">
        <f ca="1">申告計算!$S6</f>
        <v>千円</v>
      </c>
      <c r="Q2" s="44" t="str">
        <f ca="1">申告計算!$S6</f>
        <v>千円</v>
      </c>
      <c r="R2" s="44" t="str">
        <f ca="1">申告計算!$S6</f>
        <v>千円</v>
      </c>
      <c r="S2" s="44" t="str">
        <f ca="1">申告計算!$S6</f>
        <v>千円</v>
      </c>
      <c r="T2" s="44" t="str">
        <f ca="1">申告計算!$S6</f>
        <v>千円</v>
      </c>
      <c r="U2" s="44" t="str">
        <f ca="1">申告計算!$S6</f>
        <v>千円</v>
      </c>
      <c r="V2" s="44" t="str">
        <f ca="1">申告計算!$S6</f>
        <v>千円</v>
      </c>
      <c r="W2" s="44" t="str">
        <f ca="1">申告計算!$S6</f>
        <v>千円</v>
      </c>
      <c r="X2" s="44" t="str">
        <f ca="1">申告計算!$S6</f>
        <v>千円</v>
      </c>
    </row>
    <row r="3" spans="1:24">
      <c r="C3" s="18" t="s">
        <v>284</v>
      </c>
      <c r="D3" s="47" t="str">
        <f>IF(D1=0,"0円",IF(D2="千円",TEXT(D1/1000,"0"),IF(D1/10000&lt;&gt;INT(D1/10000),TEXT(D1/10000,"0.0"),TEXT(D1/10000,"0")))&amp;D2)</f>
        <v>0円</v>
      </c>
      <c r="E3" s="47" t="str">
        <f ca="1">IF(E1=0,"0円",IF(E2="千円",TEXT(E1/1000,"0"),IF(E1/10000&lt;&gt;INT(E1/10000),TEXT(E1/10000,"0.0"),TEXT(E1/10000,"0")))&amp;E2)</f>
        <v>1千円</v>
      </c>
      <c r="F3" s="47" t="str">
        <f ca="1">IF(F1=0,"0円",IF(F2="千円",TEXT(F1/1000,"0"),IF(F1/10000&lt;&gt;INT(F1/10000),TEXT(F1/10000,"0.0"),TEXT(F1/10000,"0")))&amp;F2)</f>
        <v>2千円</v>
      </c>
      <c r="G3" s="47" t="str">
        <f t="shared" ref="G3:X3" ca="1" si="0">IF(G1=0,"0円",IF(G2="千円",TEXT(G1/1000,"0"),IF(G1/10000&lt;&gt;INT(G1/10000),TEXT(G1/10000,"0.0"),TEXT(G1/10000,"0")))&amp;G2)</f>
        <v>3千円</v>
      </c>
      <c r="H3" s="47" t="str">
        <f t="shared" ca="1" si="0"/>
        <v>4千円</v>
      </c>
      <c r="I3" s="47" t="str">
        <f t="shared" ca="1" si="0"/>
        <v>5千円</v>
      </c>
      <c r="J3" s="47" t="str">
        <f t="shared" ca="1" si="0"/>
        <v>6千円</v>
      </c>
      <c r="K3" s="47" t="str">
        <f t="shared" ca="1" si="0"/>
        <v>7千円</v>
      </c>
      <c r="L3" s="47" t="str">
        <f t="shared" ca="1" si="0"/>
        <v>8千円</v>
      </c>
      <c r="M3" s="47" t="str">
        <f t="shared" ca="1" si="0"/>
        <v>9千円</v>
      </c>
      <c r="N3" s="47" t="str">
        <f t="shared" ca="1" si="0"/>
        <v>10千円</v>
      </c>
      <c r="O3" s="47" t="str">
        <f t="shared" ca="1" si="0"/>
        <v>11千円</v>
      </c>
      <c r="P3" s="47" t="str">
        <f t="shared" ca="1" si="0"/>
        <v>12千円</v>
      </c>
      <c r="Q3" s="47" t="str">
        <f t="shared" ca="1" si="0"/>
        <v>13千円</v>
      </c>
      <c r="R3" s="47" t="str">
        <f t="shared" ca="1" si="0"/>
        <v>14千円</v>
      </c>
      <c r="S3" s="47" t="str">
        <f t="shared" ca="1" si="0"/>
        <v>15千円</v>
      </c>
      <c r="T3" s="47" t="str">
        <f t="shared" ca="1" si="0"/>
        <v>16千円</v>
      </c>
      <c r="U3" s="47" t="str">
        <f t="shared" ca="1" si="0"/>
        <v>17千円</v>
      </c>
      <c r="V3" s="47" t="str">
        <f t="shared" ca="1" si="0"/>
        <v>18千円</v>
      </c>
      <c r="W3" s="47" t="str">
        <f t="shared" ca="1" si="0"/>
        <v>19千円</v>
      </c>
      <c r="X3" s="47" t="str">
        <f t="shared" ca="1" si="0"/>
        <v>20千円</v>
      </c>
    </row>
    <row r="4" spans="1:24">
      <c r="A4" s="104" t="s">
        <v>70</v>
      </c>
      <c r="B4" s="105"/>
      <c r="C4" s="18" t="s">
        <v>12</v>
      </c>
      <c r="D4" s="20">
        <f ca="1">申告計算!$B8</f>
        <v>0</v>
      </c>
      <c r="E4" s="20">
        <f ca="1">申告計算!$B8</f>
        <v>0</v>
      </c>
      <c r="F4" s="20">
        <f ca="1">申告計算!$B8</f>
        <v>0</v>
      </c>
      <c r="G4" s="20">
        <f ca="1">申告計算!$B8</f>
        <v>0</v>
      </c>
      <c r="H4" s="20">
        <f ca="1">申告計算!$B8</f>
        <v>0</v>
      </c>
      <c r="I4" s="20">
        <f ca="1">申告計算!$B8</f>
        <v>0</v>
      </c>
      <c r="J4" s="20">
        <f ca="1">申告計算!$B8</f>
        <v>0</v>
      </c>
      <c r="K4" s="20">
        <f ca="1">申告計算!$B8</f>
        <v>0</v>
      </c>
      <c r="L4" s="20">
        <f ca="1">申告計算!$B8</f>
        <v>0</v>
      </c>
      <c r="M4" s="20">
        <f ca="1">申告計算!$B8</f>
        <v>0</v>
      </c>
      <c r="N4" s="20">
        <f ca="1">申告計算!$B8</f>
        <v>0</v>
      </c>
      <c r="O4" s="20">
        <f ca="1">申告計算!$B8</f>
        <v>0</v>
      </c>
      <c r="P4" s="20">
        <f ca="1">申告計算!$B8</f>
        <v>0</v>
      </c>
      <c r="Q4" s="20">
        <f ca="1">申告計算!$B8</f>
        <v>0</v>
      </c>
      <c r="R4" s="20">
        <f ca="1">申告計算!$B8</f>
        <v>0</v>
      </c>
      <c r="S4" s="20">
        <f ca="1">申告計算!$B8</f>
        <v>0</v>
      </c>
      <c r="T4" s="20">
        <f ca="1">申告計算!$B8</f>
        <v>0</v>
      </c>
      <c r="U4" s="20">
        <f ca="1">申告計算!$B8</f>
        <v>0</v>
      </c>
      <c r="V4" s="20">
        <f ca="1">申告計算!$B8</f>
        <v>0</v>
      </c>
      <c r="W4" s="20">
        <f ca="1">申告計算!$B8</f>
        <v>0</v>
      </c>
      <c r="X4" s="20">
        <f ca="1">申告計算!$B8</f>
        <v>0</v>
      </c>
    </row>
    <row r="5" spans="1:24">
      <c r="A5" s="106"/>
      <c r="B5" s="107"/>
      <c r="C5" s="18" t="s">
        <v>282</v>
      </c>
      <c r="D5" s="20">
        <f ca="1">申告計算!$F23</f>
        <v>480000</v>
      </c>
      <c r="E5" s="20">
        <f ca="1">申告計算!$F23</f>
        <v>480000</v>
      </c>
      <c r="F5" s="20">
        <f ca="1">申告計算!$F23</f>
        <v>480000</v>
      </c>
      <c r="G5" s="20">
        <f ca="1">申告計算!$F23</f>
        <v>480000</v>
      </c>
      <c r="H5" s="20">
        <f ca="1">申告計算!$F23</f>
        <v>480000</v>
      </c>
      <c r="I5" s="20">
        <f ca="1">申告計算!$F23</f>
        <v>480000</v>
      </c>
      <c r="J5" s="20">
        <f ca="1">申告計算!$F23</f>
        <v>480000</v>
      </c>
      <c r="K5" s="20">
        <f ca="1">申告計算!$F23</f>
        <v>480000</v>
      </c>
      <c r="L5" s="20">
        <f ca="1">申告計算!$F23</f>
        <v>480000</v>
      </c>
      <c r="M5" s="20">
        <f ca="1">申告計算!$F23</f>
        <v>480000</v>
      </c>
      <c r="N5" s="20">
        <f ca="1">申告計算!$F23</f>
        <v>480000</v>
      </c>
      <c r="O5" s="20">
        <f ca="1">申告計算!$F23</f>
        <v>480000</v>
      </c>
      <c r="P5" s="20">
        <f ca="1">申告計算!$F23</f>
        <v>480000</v>
      </c>
      <c r="Q5" s="20">
        <f ca="1">申告計算!$F23</f>
        <v>480000</v>
      </c>
      <c r="R5" s="20">
        <f ca="1">申告計算!$F23</f>
        <v>480000</v>
      </c>
      <c r="S5" s="20">
        <f ca="1">申告計算!$F23</f>
        <v>480000</v>
      </c>
      <c r="T5" s="20">
        <f ca="1">申告計算!$F23</f>
        <v>480000</v>
      </c>
      <c r="U5" s="20">
        <f ca="1">申告計算!$F23</f>
        <v>480000</v>
      </c>
      <c r="V5" s="20">
        <f ca="1">申告計算!$F23</f>
        <v>480000</v>
      </c>
      <c r="W5" s="20">
        <f ca="1">申告計算!$F23</f>
        <v>480000</v>
      </c>
      <c r="X5" s="20">
        <f ca="1">申告計算!$F23</f>
        <v>480000</v>
      </c>
    </row>
    <row r="6" spans="1:24">
      <c r="A6" s="106"/>
      <c r="B6" s="107"/>
      <c r="C6" s="18" t="s">
        <v>283</v>
      </c>
      <c r="D6" s="20">
        <f>SUM(あなたの所得控除情報!$E$46:$E$49)</f>
        <v>0</v>
      </c>
      <c r="E6" s="20">
        <f>SUM(あなたの所得控除情報!$E$46:$E$49)</f>
        <v>0</v>
      </c>
      <c r="F6" s="20">
        <f>SUM(あなたの所得控除情報!$E$46:$E$49)</f>
        <v>0</v>
      </c>
      <c r="G6" s="20">
        <f>SUM(あなたの所得控除情報!$E$46:$E$49)</f>
        <v>0</v>
      </c>
      <c r="H6" s="20">
        <f>SUM(あなたの所得控除情報!$E$46:$E$49)</f>
        <v>0</v>
      </c>
      <c r="I6" s="20">
        <f>SUM(あなたの所得控除情報!$E$46:$E$49)</f>
        <v>0</v>
      </c>
      <c r="J6" s="20">
        <f>SUM(あなたの所得控除情報!$E$46:$E$49)</f>
        <v>0</v>
      </c>
      <c r="K6" s="20">
        <f>SUM(あなたの所得控除情報!$E$46:$E$49)</f>
        <v>0</v>
      </c>
      <c r="L6" s="20">
        <f>SUM(あなたの所得控除情報!$E$46:$E$49)</f>
        <v>0</v>
      </c>
      <c r="M6" s="20">
        <f>SUM(あなたの所得控除情報!$E$46:$E$49)</f>
        <v>0</v>
      </c>
      <c r="N6" s="20">
        <f>SUM(あなたの所得控除情報!$E$46:$E$49)</f>
        <v>0</v>
      </c>
      <c r="O6" s="20">
        <f>SUM(あなたの所得控除情報!$E$46:$E$49)</f>
        <v>0</v>
      </c>
      <c r="P6" s="20">
        <f>SUM(あなたの所得控除情報!$E$46:$E$49)</f>
        <v>0</v>
      </c>
      <c r="Q6" s="20">
        <f>SUM(あなたの所得控除情報!$E$46:$E$49)</f>
        <v>0</v>
      </c>
      <c r="R6" s="20">
        <f>SUM(あなたの所得控除情報!$E$46:$E$49)</f>
        <v>0</v>
      </c>
      <c r="S6" s="20">
        <f>SUM(あなたの所得控除情報!$E$46:$E$49)</f>
        <v>0</v>
      </c>
      <c r="T6" s="20">
        <f>SUM(あなたの所得控除情報!$E$46:$E$49)</f>
        <v>0</v>
      </c>
      <c r="U6" s="20">
        <f>SUM(あなたの所得控除情報!$E$46:$E$49)</f>
        <v>0</v>
      </c>
      <c r="V6" s="20">
        <f>SUM(あなたの所得控除情報!$E$46:$E$49)</f>
        <v>0</v>
      </c>
      <c r="W6" s="20">
        <f>SUM(あなたの所得控除情報!$E$46:$E$49)</f>
        <v>0</v>
      </c>
      <c r="X6" s="20">
        <f>SUM(あなたの所得控除情報!$E$46:$E$49)</f>
        <v>0</v>
      </c>
    </row>
    <row r="7" spans="1:24">
      <c r="A7" s="106"/>
      <c r="B7" s="107"/>
      <c r="C7" s="24" t="s">
        <v>286</v>
      </c>
      <c r="D7" s="20">
        <f>D1+D6</f>
        <v>0</v>
      </c>
      <c r="E7" s="20">
        <f t="shared" ref="E7:X7" ca="1" si="1">E1+E6</f>
        <v>1000</v>
      </c>
      <c r="F7" s="20">
        <f t="shared" ca="1" si="1"/>
        <v>2000</v>
      </c>
      <c r="G7" s="20">
        <f t="shared" ca="1" si="1"/>
        <v>3000</v>
      </c>
      <c r="H7" s="20">
        <f t="shared" ca="1" si="1"/>
        <v>4000</v>
      </c>
      <c r="I7" s="20">
        <f t="shared" ca="1" si="1"/>
        <v>5000</v>
      </c>
      <c r="J7" s="20">
        <f t="shared" ca="1" si="1"/>
        <v>6000</v>
      </c>
      <c r="K7" s="20">
        <f t="shared" ca="1" si="1"/>
        <v>7000</v>
      </c>
      <c r="L7" s="20">
        <f t="shared" ca="1" si="1"/>
        <v>8000</v>
      </c>
      <c r="M7" s="20">
        <f t="shared" ca="1" si="1"/>
        <v>9000</v>
      </c>
      <c r="N7" s="20">
        <f t="shared" ca="1" si="1"/>
        <v>10000</v>
      </c>
      <c r="O7" s="20">
        <f t="shared" ca="1" si="1"/>
        <v>11000</v>
      </c>
      <c r="P7" s="20">
        <f t="shared" ca="1" si="1"/>
        <v>12000</v>
      </c>
      <c r="Q7" s="20">
        <f t="shared" ca="1" si="1"/>
        <v>13000</v>
      </c>
      <c r="R7" s="20">
        <f t="shared" ca="1" si="1"/>
        <v>14000</v>
      </c>
      <c r="S7" s="20">
        <f t="shared" ca="1" si="1"/>
        <v>15000</v>
      </c>
      <c r="T7" s="20">
        <f t="shared" ca="1" si="1"/>
        <v>16000</v>
      </c>
      <c r="U7" s="20">
        <f t="shared" ca="1" si="1"/>
        <v>17000</v>
      </c>
      <c r="V7" s="20">
        <f t="shared" ca="1" si="1"/>
        <v>18000</v>
      </c>
      <c r="W7" s="20">
        <f t="shared" ca="1" si="1"/>
        <v>19000</v>
      </c>
      <c r="X7" s="20">
        <f t="shared" ca="1" si="1"/>
        <v>20000</v>
      </c>
    </row>
    <row r="8" spans="1:24">
      <c r="A8" s="106"/>
      <c r="B8" s="107"/>
      <c r="C8" s="24" t="s">
        <v>287</v>
      </c>
      <c r="D8" s="27">
        <f ca="1">ROUNDUP(D4*0.4,0)</f>
        <v>0</v>
      </c>
      <c r="E8" s="27">
        <f t="shared" ref="E8:X8" ca="1" si="2">ROUNDUP(E4*0.4,0)</f>
        <v>0</v>
      </c>
      <c r="F8" s="27">
        <f t="shared" ca="1" si="2"/>
        <v>0</v>
      </c>
      <c r="G8" s="27">
        <f t="shared" ca="1" si="2"/>
        <v>0</v>
      </c>
      <c r="H8" s="27">
        <f t="shared" ca="1" si="2"/>
        <v>0</v>
      </c>
      <c r="I8" s="27">
        <f t="shared" ca="1" si="2"/>
        <v>0</v>
      </c>
      <c r="J8" s="27">
        <f t="shared" ca="1" si="2"/>
        <v>0</v>
      </c>
      <c r="K8" s="27">
        <f t="shared" ca="1" si="2"/>
        <v>0</v>
      </c>
      <c r="L8" s="27">
        <f t="shared" ca="1" si="2"/>
        <v>0</v>
      </c>
      <c r="M8" s="27">
        <f t="shared" ca="1" si="2"/>
        <v>0</v>
      </c>
      <c r="N8" s="27">
        <f t="shared" ca="1" si="2"/>
        <v>0</v>
      </c>
      <c r="O8" s="27">
        <f t="shared" ca="1" si="2"/>
        <v>0</v>
      </c>
      <c r="P8" s="27">
        <f t="shared" ca="1" si="2"/>
        <v>0</v>
      </c>
      <c r="Q8" s="27">
        <f t="shared" ca="1" si="2"/>
        <v>0</v>
      </c>
      <c r="R8" s="27">
        <f t="shared" ca="1" si="2"/>
        <v>0</v>
      </c>
      <c r="S8" s="27">
        <f t="shared" ca="1" si="2"/>
        <v>0</v>
      </c>
      <c r="T8" s="27">
        <f t="shared" ca="1" si="2"/>
        <v>0</v>
      </c>
      <c r="U8" s="27">
        <f t="shared" ca="1" si="2"/>
        <v>0</v>
      </c>
      <c r="V8" s="27">
        <f t="shared" ca="1" si="2"/>
        <v>0</v>
      </c>
      <c r="W8" s="27">
        <f t="shared" ca="1" si="2"/>
        <v>0</v>
      </c>
      <c r="X8" s="27">
        <f t="shared" ca="1" si="2"/>
        <v>0</v>
      </c>
    </row>
    <row r="9" spans="1:24">
      <c r="A9" s="106"/>
      <c r="B9" s="107"/>
      <c r="C9" s="24" t="s">
        <v>288</v>
      </c>
      <c r="D9" s="20">
        <f ca="1">MAX(MIN(D7,D8)-2000,0)</f>
        <v>0</v>
      </c>
      <c r="E9" s="20">
        <f t="shared" ref="E9:X9" ca="1" si="3">MAX(MIN(E7,E8)-2000,0)</f>
        <v>0</v>
      </c>
      <c r="F9" s="20">
        <f t="shared" ca="1" si="3"/>
        <v>0</v>
      </c>
      <c r="G9" s="20">
        <f t="shared" ca="1" si="3"/>
        <v>0</v>
      </c>
      <c r="H9" s="20">
        <f t="shared" ca="1" si="3"/>
        <v>0</v>
      </c>
      <c r="I9" s="20">
        <f t="shared" ca="1" si="3"/>
        <v>0</v>
      </c>
      <c r="J9" s="20">
        <f t="shared" ca="1" si="3"/>
        <v>0</v>
      </c>
      <c r="K9" s="20">
        <f t="shared" ca="1" si="3"/>
        <v>0</v>
      </c>
      <c r="L9" s="20">
        <f t="shared" ca="1" si="3"/>
        <v>0</v>
      </c>
      <c r="M9" s="20">
        <f t="shared" ca="1" si="3"/>
        <v>0</v>
      </c>
      <c r="N9" s="20">
        <f t="shared" ca="1" si="3"/>
        <v>0</v>
      </c>
      <c r="O9" s="20">
        <f t="shared" ca="1" si="3"/>
        <v>0</v>
      </c>
      <c r="P9" s="20">
        <f t="shared" ca="1" si="3"/>
        <v>0</v>
      </c>
      <c r="Q9" s="20">
        <f t="shared" ca="1" si="3"/>
        <v>0</v>
      </c>
      <c r="R9" s="20">
        <f t="shared" ca="1" si="3"/>
        <v>0</v>
      </c>
      <c r="S9" s="20">
        <f t="shared" ca="1" si="3"/>
        <v>0</v>
      </c>
      <c r="T9" s="20">
        <f t="shared" ca="1" si="3"/>
        <v>0</v>
      </c>
      <c r="U9" s="20">
        <f t="shared" ca="1" si="3"/>
        <v>0</v>
      </c>
      <c r="V9" s="20">
        <f t="shared" ca="1" si="3"/>
        <v>0</v>
      </c>
      <c r="W9" s="20">
        <f t="shared" ca="1" si="3"/>
        <v>0</v>
      </c>
      <c r="X9" s="20">
        <f t="shared" ca="1" si="3"/>
        <v>0</v>
      </c>
    </row>
    <row r="10" spans="1:24">
      <c r="A10" s="106"/>
      <c r="B10" s="107"/>
      <c r="C10" s="24" t="s">
        <v>289</v>
      </c>
      <c r="D10" s="20">
        <f ca="1">D5+D9</f>
        <v>480000</v>
      </c>
      <c r="E10" s="20">
        <f t="shared" ref="E10:X10" ca="1" si="4">E5+E9</f>
        <v>480000</v>
      </c>
      <c r="F10" s="20">
        <f t="shared" ca="1" si="4"/>
        <v>480000</v>
      </c>
      <c r="G10" s="20">
        <f t="shared" ca="1" si="4"/>
        <v>480000</v>
      </c>
      <c r="H10" s="20">
        <f t="shared" ca="1" si="4"/>
        <v>480000</v>
      </c>
      <c r="I10" s="20">
        <f t="shared" ca="1" si="4"/>
        <v>480000</v>
      </c>
      <c r="J10" s="20">
        <f t="shared" ca="1" si="4"/>
        <v>480000</v>
      </c>
      <c r="K10" s="20">
        <f t="shared" ca="1" si="4"/>
        <v>480000</v>
      </c>
      <c r="L10" s="20">
        <f t="shared" ca="1" si="4"/>
        <v>480000</v>
      </c>
      <c r="M10" s="20">
        <f t="shared" ca="1" si="4"/>
        <v>480000</v>
      </c>
      <c r="N10" s="20">
        <f t="shared" ca="1" si="4"/>
        <v>480000</v>
      </c>
      <c r="O10" s="20">
        <f t="shared" ca="1" si="4"/>
        <v>480000</v>
      </c>
      <c r="P10" s="20">
        <f t="shared" ca="1" si="4"/>
        <v>480000</v>
      </c>
      <c r="Q10" s="20">
        <f t="shared" ca="1" si="4"/>
        <v>480000</v>
      </c>
      <c r="R10" s="20">
        <f t="shared" ca="1" si="4"/>
        <v>480000</v>
      </c>
      <c r="S10" s="20">
        <f t="shared" ca="1" si="4"/>
        <v>480000</v>
      </c>
      <c r="T10" s="20">
        <f t="shared" ca="1" si="4"/>
        <v>480000</v>
      </c>
      <c r="U10" s="20">
        <f t="shared" ca="1" si="4"/>
        <v>480000</v>
      </c>
      <c r="V10" s="20">
        <f t="shared" ca="1" si="4"/>
        <v>480000</v>
      </c>
      <c r="W10" s="20">
        <f t="shared" ca="1" si="4"/>
        <v>480000</v>
      </c>
      <c r="X10" s="20">
        <f t="shared" ca="1" si="4"/>
        <v>480000</v>
      </c>
    </row>
    <row r="11" spans="1:24">
      <c r="A11" s="106"/>
      <c r="B11" s="107"/>
      <c r="C11" s="24" t="s">
        <v>290</v>
      </c>
      <c r="D11" s="20">
        <f ca="1">MAX(ROUNDDOWN(D4-D10,-3),0)</f>
        <v>0</v>
      </c>
      <c r="E11" s="20">
        <f t="shared" ref="E11:X11" ca="1" si="5">MAX(ROUNDDOWN(E4-E10,-3),0)</f>
        <v>0</v>
      </c>
      <c r="F11" s="20">
        <f t="shared" ca="1" si="5"/>
        <v>0</v>
      </c>
      <c r="G11" s="20">
        <f t="shared" ca="1" si="5"/>
        <v>0</v>
      </c>
      <c r="H11" s="20">
        <f t="shared" ca="1" si="5"/>
        <v>0</v>
      </c>
      <c r="I11" s="20">
        <f t="shared" ca="1" si="5"/>
        <v>0</v>
      </c>
      <c r="J11" s="20">
        <f t="shared" ca="1" si="5"/>
        <v>0</v>
      </c>
      <c r="K11" s="20">
        <f t="shared" ca="1" si="5"/>
        <v>0</v>
      </c>
      <c r="L11" s="20">
        <f t="shared" ca="1" si="5"/>
        <v>0</v>
      </c>
      <c r="M11" s="20">
        <f t="shared" ca="1" si="5"/>
        <v>0</v>
      </c>
      <c r="N11" s="20">
        <f t="shared" ca="1" si="5"/>
        <v>0</v>
      </c>
      <c r="O11" s="20">
        <f t="shared" ca="1" si="5"/>
        <v>0</v>
      </c>
      <c r="P11" s="20">
        <f t="shared" ca="1" si="5"/>
        <v>0</v>
      </c>
      <c r="Q11" s="20">
        <f t="shared" ca="1" si="5"/>
        <v>0</v>
      </c>
      <c r="R11" s="20">
        <f t="shared" ca="1" si="5"/>
        <v>0</v>
      </c>
      <c r="S11" s="20">
        <f t="shared" ca="1" si="5"/>
        <v>0</v>
      </c>
      <c r="T11" s="20">
        <f t="shared" ca="1" si="5"/>
        <v>0</v>
      </c>
      <c r="U11" s="20">
        <f t="shared" ca="1" si="5"/>
        <v>0</v>
      </c>
      <c r="V11" s="20">
        <f t="shared" ca="1" si="5"/>
        <v>0</v>
      </c>
      <c r="W11" s="20">
        <f t="shared" ca="1" si="5"/>
        <v>0</v>
      </c>
      <c r="X11" s="20">
        <f t="shared" ca="1" si="5"/>
        <v>0</v>
      </c>
    </row>
    <row r="12" spans="1:24">
      <c r="A12" s="106"/>
      <c r="B12" s="107"/>
      <c r="C12" s="24" t="s">
        <v>291</v>
      </c>
      <c r="D12" s="48">
        <f ca="1">INDEX(所得税率管理!$B$2:$D$16,COUNTIF(所得税率管理!$B$2:$B$16,"&lt;"&amp;D11)+1,2)</f>
        <v>0.05</v>
      </c>
      <c r="E12" s="48">
        <f ca="1">INDEX(所得税率管理!$B$2:$D$16,COUNTIF(所得税率管理!$B$2:$B$16,"&lt;"&amp;E11)+1,2)</f>
        <v>0.05</v>
      </c>
      <c r="F12" s="48">
        <f ca="1">INDEX(所得税率管理!$B$2:$D$16,COUNTIF(所得税率管理!$B$2:$B$16,"&lt;"&amp;F11)+1,2)</f>
        <v>0.05</v>
      </c>
      <c r="G12" s="48">
        <f ca="1">INDEX(所得税率管理!$B$2:$D$16,COUNTIF(所得税率管理!$B$2:$B$16,"&lt;"&amp;G11)+1,2)</f>
        <v>0.05</v>
      </c>
      <c r="H12" s="48">
        <f ca="1">INDEX(所得税率管理!$B$2:$D$16,COUNTIF(所得税率管理!$B$2:$B$16,"&lt;"&amp;H11)+1,2)</f>
        <v>0.05</v>
      </c>
      <c r="I12" s="48">
        <f ca="1">INDEX(所得税率管理!$B$2:$D$16,COUNTIF(所得税率管理!$B$2:$B$16,"&lt;"&amp;I11)+1,2)</f>
        <v>0.05</v>
      </c>
      <c r="J12" s="48">
        <f ca="1">INDEX(所得税率管理!$B$2:$D$16,COUNTIF(所得税率管理!$B$2:$B$16,"&lt;"&amp;J11)+1,2)</f>
        <v>0.05</v>
      </c>
      <c r="K12" s="48">
        <f ca="1">INDEX(所得税率管理!$B$2:$D$16,COUNTIF(所得税率管理!$B$2:$B$16,"&lt;"&amp;K11)+1,2)</f>
        <v>0.05</v>
      </c>
      <c r="L12" s="48">
        <f ca="1">INDEX(所得税率管理!$B$2:$D$16,COUNTIF(所得税率管理!$B$2:$B$16,"&lt;"&amp;L11)+1,2)</f>
        <v>0.05</v>
      </c>
      <c r="M12" s="48">
        <f ca="1">INDEX(所得税率管理!$B$2:$D$16,COUNTIF(所得税率管理!$B$2:$B$16,"&lt;"&amp;M11)+1,2)</f>
        <v>0.05</v>
      </c>
      <c r="N12" s="48">
        <f ca="1">INDEX(所得税率管理!$B$2:$D$16,COUNTIF(所得税率管理!$B$2:$B$16,"&lt;"&amp;N11)+1,2)</f>
        <v>0.05</v>
      </c>
      <c r="O12" s="48">
        <f ca="1">INDEX(所得税率管理!$B$2:$D$16,COUNTIF(所得税率管理!$B$2:$B$16,"&lt;"&amp;O11)+1,2)</f>
        <v>0.05</v>
      </c>
      <c r="P12" s="48">
        <f ca="1">INDEX(所得税率管理!$B$2:$D$16,COUNTIF(所得税率管理!$B$2:$B$16,"&lt;"&amp;P11)+1,2)</f>
        <v>0.05</v>
      </c>
      <c r="Q12" s="48">
        <f ca="1">INDEX(所得税率管理!$B$2:$D$16,COUNTIF(所得税率管理!$B$2:$B$16,"&lt;"&amp;Q11)+1,2)</f>
        <v>0.05</v>
      </c>
      <c r="R12" s="48">
        <f ca="1">INDEX(所得税率管理!$B$2:$D$16,COUNTIF(所得税率管理!$B$2:$B$16,"&lt;"&amp;R11)+1,2)</f>
        <v>0.05</v>
      </c>
      <c r="S12" s="48">
        <f ca="1">INDEX(所得税率管理!$B$2:$D$16,COUNTIF(所得税率管理!$B$2:$B$16,"&lt;"&amp;S11)+1,2)</f>
        <v>0.05</v>
      </c>
      <c r="T12" s="48">
        <f ca="1">INDEX(所得税率管理!$B$2:$D$16,COUNTIF(所得税率管理!$B$2:$B$16,"&lt;"&amp;T11)+1,2)</f>
        <v>0.05</v>
      </c>
      <c r="U12" s="48">
        <f ca="1">INDEX(所得税率管理!$B$2:$D$16,COUNTIF(所得税率管理!$B$2:$B$16,"&lt;"&amp;U11)+1,2)</f>
        <v>0.05</v>
      </c>
      <c r="V12" s="48">
        <f ca="1">INDEX(所得税率管理!$B$2:$D$16,COUNTIF(所得税率管理!$B$2:$B$16,"&lt;"&amp;V11)+1,2)</f>
        <v>0.05</v>
      </c>
      <c r="W12" s="48">
        <f ca="1">INDEX(所得税率管理!$B$2:$D$16,COUNTIF(所得税率管理!$B$2:$B$16,"&lt;"&amp;W11)+1,2)</f>
        <v>0.05</v>
      </c>
      <c r="X12" s="48">
        <f ca="1">INDEX(所得税率管理!$B$2:$D$16,COUNTIF(所得税率管理!$B$2:$B$16,"&lt;"&amp;X11)+1,2)</f>
        <v>0.05</v>
      </c>
    </row>
    <row r="13" spans="1:24">
      <c r="A13" s="106"/>
      <c r="B13" s="107"/>
      <c r="C13" s="24" t="s">
        <v>292</v>
      </c>
      <c r="D13" s="18">
        <f ca="1">INDEX(申告特例控除率管理!$B$2:$D$16,COUNTIF(申告特例控除率管理!$B$2:$B$16,"&lt;"&amp;D11)+1,2)</f>
        <v>6.0133105601036581E-2</v>
      </c>
      <c r="E13" s="18">
        <f ca="1">INDEX(申告特例控除率管理!$B$2:$D$16,COUNTIF(申告特例控除率管理!$B$2:$B$16,"&lt;"&amp;E11)+1,2)</f>
        <v>6.0133105601036581E-2</v>
      </c>
      <c r="F13" s="18">
        <f ca="1">INDEX(申告特例控除率管理!$B$2:$D$16,COUNTIF(申告特例控除率管理!$B$2:$B$16,"&lt;"&amp;F11)+1,2)</f>
        <v>6.0133105601036581E-2</v>
      </c>
      <c r="G13" s="18">
        <f ca="1">INDEX(申告特例控除率管理!$B$2:$D$16,COUNTIF(申告特例控除率管理!$B$2:$B$16,"&lt;"&amp;G11)+1,2)</f>
        <v>6.0133105601036581E-2</v>
      </c>
      <c r="H13" s="18">
        <f ca="1">INDEX(申告特例控除率管理!$B$2:$D$16,COUNTIF(申告特例控除率管理!$B$2:$B$16,"&lt;"&amp;H11)+1,2)</f>
        <v>6.0133105601036581E-2</v>
      </c>
      <c r="I13" s="18">
        <f ca="1">INDEX(申告特例控除率管理!$B$2:$D$16,COUNTIF(申告特例控除率管理!$B$2:$B$16,"&lt;"&amp;I11)+1,2)</f>
        <v>6.0133105601036581E-2</v>
      </c>
      <c r="J13" s="18">
        <f ca="1">INDEX(申告特例控除率管理!$B$2:$D$16,COUNTIF(申告特例控除率管理!$B$2:$B$16,"&lt;"&amp;J11)+1,2)</f>
        <v>6.0133105601036581E-2</v>
      </c>
      <c r="K13" s="18">
        <f ca="1">INDEX(申告特例控除率管理!$B$2:$D$16,COUNTIF(申告特例控除率管理!$B$2:$B$16,"&lt;"&amp;K11)+1,2)</f>
        <v>6.0133105601036581E-2</v>
      </c>
      <c r="L13" s="18">
        <f ca="1">INDEX(申告特例控除率管理!$B$2:$D$16,COUNTIF(申告特例控除率管理!$B$2:$B$16,"&lt;"&amp;L11)+1,2)</f>
        <v>6.0133105601036581E-2</v>
      </c>
      <c r="M13" s="18">
        <f ca="1">INDEX(申告特例控除率管理!$B$2:$D$16,COUNTIF(申告特例控除率管理!$B$2:$B$16,"&lt;"&amp;M11)+1,2)</f>
        <v>6.0133105601036581E-2</v>
      </c>
      <c r="N13" s="18">
        <f ca="1">INDEX(申告特例控除率管理!$B$2:$D$16,COUNTIF(申告特例控除率管理!$B$2:$B$16,"&lt;"&amp;N11)+1,2)</f>
        <v>6.0133105601036581E-2</v>
      </c>
      <c r="O13" s="18">
        <f ca="1">INDEX(申告特例控除率管理!$B$2:$D$16,COUNTIF(申告特例控除率管理!$B$2:$B$16,"&lt;"&amp;O11)+1,2)</f>
        <v>6.0133105601036581E-2</v>
      </c>
      <c r="P13" s="18">
        <f ca="1">INDEX(申告特例控除率管理!$B$2:$D$16,COUNTIF(申告特例控除率管理!$B$2:$B$16,"&lt;"&amp;P11)+1,2)</f>
        <v>6.0133105601036581E-2</v>
      </c>
      <c r="Q13" s="18">
        <f ca="1">INDEX(申告特例控除率管理!$B$2:$D$16,COUNTIF(申告特例控除率管理!$B$2:$B$16,"&lt;"&amp;Q11)+1,2)</f>
        <v>6.0133105601036581E-2</v>
      </c>
      <c r="R13" s="18">
        <f ca="1">INDEX(申告特例控除率管理!$B$2:$D$16,COUNTIF(申告特例控除率管理!$B$2:$B$16,"&lt;"&amp;R11)+1,2)</f>
        <v>6.0133105601036581E-2</v>
      </c>
      <c r="S13" s="18">
        <f ca="1">INDEX(申告特例控除率管理!$B$2:$D$16,COUNTIF(申告特例控除率管理!$B$2:$B$16,"&lt;"&amp;S11)+1,2)</f>
        <v>6.0133105601036581E-2</v>
      </c>
      <c r="T13" s="18">
        <f ca="1">INDEX(申告特例控除率管理!$B$2:$D$16,COUNTIF(申告特例控除率管理!$B$2:$B$16,"&lt;"&amp;T11)+1,2)</f>
        <v>6.0133105601036581E-2</v>
      </c>
      <c r="U13" s="18">
        <f ca="1">INDEX(申告特例控除率管理!$B$2:$D$16,COUNTIF(申告特例控除率管理!$B$2:$B$16,"&lt;"&amp;U11)+1,2)</f>
        <v>6.0133105601036581E-2</v>
      </c>
      <c r="V13" s="18">
        <f ca="1">INDEX(申告特例控除率管理!$B$2:$D$16,COUNTIF(申告特例控除率管理!$B$2:$B$16,"&lt;"&amp;V11)+1,2)</f>
        <v>6.0133105601036581E-2</v>
      </c>
      <c r="W13" s="18">
        <f ca="1">INDEX(申告特例控除率管理!$B$2:$D$16,COUNTIF(申告特例控除率管理!$B$2:$B$16,"&lt;"&amp;W11)+1,2)</f>
        <v>6.0133105601036581E-2</v>
      </c>
      <c r="X13" s="18">
        <f ca="1">INDEX(申告特例控除率管理!$B$2:$D$16,COUNTIF(申告特例控除率管理!$B$2:$B$16,"&lt;"&amp;X11)+1,2)</f>
        <v>6.0133105601036581E-2</v>
      </c>
    </row>
    <row r="14" spans="1:24">
      <c r="A14" s="106"/>
      <c r="B14" s="107"/>
      <c r="C14" s="24" t="s">
        <v>318</v>
      </c>
      <c r="D14" s="27">
        <f ca="1">INDEX(所得税率管理!$B$2:$D$16,COUNTIF(所得税率管理!$B$2:$B$16,"&lt;"&amp;D11)+1,3)</f>
        <v>0</v>
      </c>
      <c r="E14" s="27">
        <f ca="1">INDEX(所得税率管理!$B$2:$D$16,COUNTIF(所得税率管理!$B$2:$B$16,"&lt;"&amp;E11)+1,3)</f>
        <v>0</v>
      </c>
      <c r="F14" s="27">
        <f ca="1">INDEX(所得税率管理!$B$2:$D$16,COUNTIF(所得税率管理!$B$2:$B$16,"&lt;"&amp;F11)+1,3)</f>
        <v>0</v>
      </c>
      <c r="G14" s="27">
        <f ca="1">INDEX(所得税率管理!$B$2:$D$16,COUNTIF(所得税率管理!$B$2:$B$16,"&lt;"&amp;G11)+1,3)</f>
        <v>0</v>
      </c>
      <c r="H14" s="27">
        <f ca="1">INDEX(所得税率管理!$B$2:$D$16,COUNTIF(所得税率管理!$B$2:$B$16,"&lt;"&amp;H11)+1,3)</f>
        <v>0</v>
      </c>
      <c r="I14" s="27">
        <f ca="1">INDEX(所得税率管理!$B$2:$D$16,COUNTIF(所得税率管理!$B$2:$B$16,"&lt;"&amp;I11)+1,3)</f>
        <v>0</v>
      </c>
      <c r="J14" s="27">
        <f ca="1">INDEX(所得税率管理!$B$2:$D$16,COUNTIF(所得税率管理!$B$2:$B$16,"&lt;"&amp;J11)+1,3)</f>
        <v>0</v>
      </c>
      <c r="K14" s="27">
        <f ca="1">INDEX(所得税率管理!$B$2:$D$16,COUNTIF(所得税率管理!$B$2:$B$16,"&lt;"&amp;K11)+1,3)</f>
        <v>0</v>
      </c>
      <c r="L14" s="27">
        <f ca="1">INDEX(所得税率管理!$B$2:$D$16,COUNTIF(所得税率管理!$B$2:$B$16,"&lt;"&amp;L11)+1,3)</f>
        <v>0</v>
      </c>
      <c r="M14" s="27">
        <f ca="1">INDEX(所得税率管理!$B$2:$D$16,COUNTIF(所得税率管理!$B$2:$B$16,"&lt;"&amp;M11)+1,3)</f>
        <v>0</v>
      </c>
      <c r="N14" s="27">
        <f ca="1">INDEX(所得税率管理!$B$2:$D$16,COUNTIF(所得税率管理!$B$2:$B$16,"&lt;"&amp;N11)+1,3)</f>
        <v>0</v>
      </c>
      <c r="O14" s="27">
        <f ca="1">INDEX(所得税率管理!$B$2:$D$16,COUNTIF(所得税率管理!$B$2:$B$16,"&lt;"&amp;O11)+1,3)</f>
        <v>0</v>
      </c>
      <c r="P14" s="27">
        <f ca="1">INDEX(所得税率管理!$B$2:$D$16,COUNTIF(所得税率管理!$B$2:$B$16,"&lt;"&amp;P11)+1,3)</f>
        <v>0</v>
      </c>
      <c r="Q14" s="27">
        <f ca="1">INDEX(所得税率管理!$B$2:$D$16,COUNTIF(所得税率管理!$B$2:$B$16,"&lt;"&amp;Q11)+1,3)</f>
        <v>0</v>
      </c>
      <c r="R14" s="27">
        <f ca="1">INDEX(所得税率管理!$B$2:$D$16,COUNTIF(所得税率管理!$B$2:$B$16,"&lt;"&amp;R11)+1,3)</f>
        <v>0</v>
      </c>
      <c r="S14" s="27">
        <f ca="1">INDEX(所得税率管理!$B$2:$D$16,COUNTIF(所得税率管理!$B$2:$B$16,"&lt;"&amp;S11)+1,3)</f>
        <v>0</v>
      </c>
      <c r="T14" s="27">
        <f ca="1">INDEX(所得税率管理!$B$2:$D$16,COUNTIF(所得税率管理!$B$2:$B$16,"&lt;"&amp;T11)+1,3)</f>
        <v>0</v>
      </c>
      <c r="U14" s="27">
        <f ca="1">INDEX(所得税率管理!$B$2:$D$16,COUNTIF(所得税率管理!$B$2:$B$16,"&lt;"&amp;U11)+1,3)</f>
        <v>0</v>
      </c>
      <c r="V14" s="27">
        <f ca="1">INDEX(所得税率管理!$B$2:$D$16,COUNTIF(所得税率管理!$B$2:$B$16,"&lt;"&amp;V11)+1,3)</f>
        <v>0</v>
      </c>
      <c r="W14" s="27">
        <f ca="1">INDEX(所得税率管理!$B$2:$D$16,COUNTIF(所得税率管理!$B$2:$B$16,"&lt;"&amp;W11)+1,3)</f>
        <v>0</v>
      </c>
      <c r="X14" s="27">
        <f ca="1">INDEX(所得税率管理!$B$2:$D$16,COUNTIF(所得税率管理!$B$2:$B$16,"&lt;"&amp;X11)+1,3)</f>
        <v>0</v>
      </c>
    </row>
    <row r="15" spans="1:24">
      <c r="A15" s="106"/>
      <c r="B15" s="107"/>
      <c r="C15" s="24" t="s">
        <v>319</v>
      </c>
      <c r="D15" s="27">
        <f ca="1">ROUNDDOWN(D11*D12,0)+D14</f>
        <v>0</v>
      </c>
      <c r="E15" s="27">
        <f t="shared" ref="E15:X15" ca="1" si="6">ROUNDDOWN(E11*E12,0)+E14</f>
        <v>0</v>
      </c>
      <c r="F15" s="27">
        <f t="shared" ca="1" si="6"/>
        <v>0</v>
      </c>
      <c r="G15" s="27">
        <f t="shared" ca="1" si="6"/>
        <v>0</v>
      </c>
      <c r="H15" s="27">
        <f t="shared" ca="1" si="6"/>
        <v>0</v>
      </c>
      <c r="I15" s="27">
        <f t="shared" ca="1" si="6"/>
        <v>0</v>
      </c>
      <c r="J15" s="27">
        <f t="shared" ca="1" si="6"/>
        <v>0</v>
      </c>
      <c r="K15" s="27">
        <f t="shared" ca="1" si="6"/>
        <v>0</v>
      </c>
      <c r="L15" s="27">
        <f t="shared" ca="1" si="6"/>
        <v>0</v>
      </c>
      <c r="M15" s="27">
        <f t="shared" ca="1" si="6"/>
        <v>0</v>
      </c>
      <c r="N15" s="27">
        <f t="shared" ca="1" si="6"/>
        <v>0</v>
      </c>
      <c r="O15" s="27">
        <f t="shared" ca="1" si="6"/>
        <v>0</v>
      </c>
      <c r="P15" s="27">
        <f t="shared" ca="1" si="6"/>
        <v>0</v>
      </c>
      <c r="Q15" s="27">
        <f t="shared" ca="1" si="6"/>
        <v>0</v>
      </c>
      <c r="R15" s="27">
        <f t="shared" ca="1" si="6"/>
        <v>0</v>
      </c>
      <c r="S15" s="27">
        <f t="shared" ca="1" si="6"/>
        <v>0</v>
      </c>
      <c r="T15" s="27">
        <f t="shared" ca="1" si="6"/>
        <v>0</v>
      </c>
      <c r="U15" s="27">
        <f t="shared" ca="1" si="6"/>
        <v>0</v>
      </c>
      <c r="V15" s="27">
        <f t="shared" ca="1" si="6"/>
        <v>0</v>
      </c>
      <c r="W15" s="27">
        <f t="shared" ca="1" si="6"/>
        <v>0</v>
      </c>
      <c r="X15" s="27">
        <f t="shared" ca="1" si="6"/>
        <v>0</v>
      </c>
    </row>
    <row r="16" spans="1:24">
      <c r="A16" s="106"/>
      <c r="B16" s="107"/>
      <c r="C16" s="24" t="s">
        <v>320</v>
      </c>
      <c r="D16" s="27">
        <f>申告計算!$K7</f>
        <v>0</v>
      </c>
      <c r="E16" s="27">
        <f>申告計算!$K7</f>
        <v>0</v>
      </c>
      <c r="F16" s="27">
        <f>申告計算!$K7</f>
        <v>0</v>
      </c>
      <c r="G16" s="27">
        <f>申告計算!$K7</f>
        <v>0</v>
      </c>
      <c r="H16" s="27">
        <f>申告計算!$K7</f>
        <v>0</v>
      </c>
      <c r="I16" s="27">
        <f>申告計算!$K7</f>
        <v>0</v>
      </c>
      <c r="J16" s="27">
        <f>申告計算!$K7</f>
        <v>0</v>
      </c>
      <c r="K16" s="27">
        <f>申告計算!$K7</f>
        <v>0</v>
      </c>
      <c r="L16" s="27">
        <f>申告計算!$K7</f>
        <v>0</v>
      </c>
      <c r="M16" s="27">
        <f>申告計算!$K7</f>
        <v>0</v>
      </c>
      <c r="N16" s="27">
        <f>申告計算!$K7</f>
        <v>0</v>
      </c>
      <c r="O16" s="27">
        <f>申告計算!$K7</f>
        <v>0</v>
      </c>
      <c r="P16" s="27">
        <f>申告計算!$K7</f>
        <v>0</v>
      </c>
      <c r="Q16" s="27">
        <f>申告計算!$K7</f>
        <v>0</v>
      </c>
      <c r="R16" s="27">
        <f>申告計算!$K7</f>
        <v>0</v>
      </c>
      <c r="S16" s="27">
        <f>申告計算!$K7</f>
        <v>0</v>
      </c>
      <c r="T16" s="27">
        <f>申告計算!$K7</f>
        <v>0</v>
      </c>
      <c r="U16" s="27">
        <f>申告計算!$K7</f>
        <v>0</v>
      </c>
      <c r="V16" s="27">
        <f>申告計算!$K7</f>
        <v>0</v>
      </c>
      <c r="W16" s="27">
        <f>申告計算!$K7</f>
        <v>0</v>
      </c>
      <c r="X16" s="27">
        <f>申告計算!$K7</f>
        <v>0</v>
      </c>
    </row>
    <row r="17" spans="1:24">
      <c r="A17" s="106"/>
      <c r="B17" s="107"/>
      <c r="C17" s="24" t="s">
        <v>321</v>
      </c>
      <c r="D17" s="27">
        <f ca="1">IF(D16&gt;=D15,0,D15-D16)</f>
        <v>0</v>
      </c>
      <c r="E17" s="27">
        <f t="shared" ref="E17:X17" ca="1" si="7">IF(E16&gt;=E15,0,E15-E16)</f>
        <v>0</v>
      </c>
      <c r="F17" s="27">
        <f t="shared" ca="1" si="7"/>
        <v>0</v>
      </c>
      <c r="G17" s="27">
        <f t="shared" ca="1" si="7"/>
        <v>0</v>
      </c>
      <c r="H17" s="27">
        <f t="shared" ca="1" si="7"/>
        <v>0</v>
      </c>
      <c r="I17" s="27">
        <f t="shared" ca="1" si="7"/>
        <v>0</v>
      </c>
      <c r="J17" s="27">
        <f t="shared" ca="1" si="7"/>
        <v>0</v>
      </c>
      <c r="K17" s="27">
        <f t="shared" ca="1" si="7"/>
        <v>0</v>
      </c>
      <c r="L17" s="27">
        <f t="shared" ca="1" si="7"/>
        <v>0</v>
      </c>
      <c r="M17" s="27">
        <f t="shared" ca="1" si="7"/>
        <v>0</v>
      </c>
      <c r="N17" s="27">
        <f t="shared" ca="1" si="7"/>
        <v>0</v>
      </c>
      <c r="O17" s="27">
        <f t="shared" ca="1" si="7"/>
        <v>0</v>
      </c>
      <c r="P17" s="27">
        <f t="shared" ca="1" si="7"/>
        <v>0</v>
      </c>
      <c r="Q17" s="27">
        <f t="shared" ca="1" si="7"/>
        <v>0</v>
      </c>
      <c r="R17" s="27">
        <f t="shared" ca="1" si="7"/>
        <v>0</v>
      </c>
      <c r="S17" s="27">
        <f t="shared" ca="1" si="7"/>
        <v>0</v>
      </c>
      <c r="T17" s="27">
        <f t="shared" ca="1" si="7"/>
        <v>0</v>
      </c>
      <c r="U17" s="27">
        <f t="shared" ca="1" si="7"/>
        <v>0</v>
      </c>
      <c r="V17" s="27">
        <f t="shared" ca="1" si="7"/>
        <v>0</v>
      </c>
      <c r="W17" s="27">
        <f t="shared" ca="1" si="7"/>
        <v>0</v>
      </c>
      <c r="X17" s="27">
        <f t="shared" ca="1" si="7"/>
        <v>0</v>
      </c>
    </row>
    <row r="18" spans="1:24">
      <c r="A18" s="106"/>
      <c r="B18" s="107"/>
      <c r="C18" s="24" t="s">
        <v>293</v>
      </c>
      <c r="D18" s="49">
        <f>申告計算!$K9</f>
        <v>2.1000000000000001E-2</v>
      </c>
      <c r="E18" s="49">
        <f>申告計算!$K9</f>
        <v>2.1000000000000001E-2</v>
      </c>
      <c r="F18" s="49">
        <f>申告計算!$K9</f>
        <v>2.1000000000000001E-2</v>
      </c>
      <c r="G18" s="49">
        <f>申告計算!$K9</f>
        <v>2.1000000000000001E-2</v>
      </c>
      <c r="H18" s="49">
        <f>申告計算!$K9</f>
        <v>2.1000000000000001E-2</v>
      </c>
      <c r="I18" s="49">
        <f>申告計算!$K9</f>
        <v>2.1000000000000001E-2</v>
      </c>
      <c r="J18" s="49">
        <f>申告計算!$K9</f>
        <v>2.1000000000000001E-2</v>
      </c>
      <c r="K18" s="49">
        <f>申告計算!$K9</f>
        <v>2.1000000000000001E-2</v>
      </c>
      <c r="L18" s="49">
        <f>申告計算!$K9</f>
        <v>2.1000000000000001E-2</v>
      </c>
      <c r="M18" s="49">
        <f>申告計算!$K9</f>
        <v>2.1000000000000001E-2</v>
      </c>
      <c r="N18" s="49">
        <f>申告計算!$K9</f>
        <v>2.1000000000000001E-2</v>
      </c>
      <c r="O18" s="49">
        <f>申告計算!$K9</f>
        <v>2.1000000000000001E-2</v>
      </c>
      <c r="P18" s="49">
        <f>申告計算!$K9</f>
        <v>2.1000000000000001E-2</v>
      </c>
      <c r="Q18" s="49">
        <f>申告計算!$K9</f>
        <v>2.1000000000000001E-2</v>
      </c>
      <c r="R18" s="49">
        <f>申告計算!$K9</f>
        <v>2.1000000000000001E-2</v>
      </c>
      <c r="S18" s="49">
        <f>申告計算!$K9</f>
        <v>2.1000000000000001E-2</v>
      </c>
      <c r="T18" s="49">
        <f>申告計算!$K9</f>
        <v>2.1000000000000001E-2</v>
      </c>
      <c r="U18" s="49">
        <f>申告計算!$K9</f>
        <v>2.1000000000000001E-2</v>
      </c>
      <c r="V18" s="49">
        <f>申告計算!$K9</f>
        <v>2.1000000000000001E-2</v>
      </c>
      <c r="W18" s="49">
        <f>申告計算!$K9</f>
        <v>2.1000000000000001E-2</v>
      </c>
      <c r="X18" s="49">
        <f>申告計算!$K9</f>
        <v>2.1000000000000001E-2</v>
      </c>
    </row>
    <row r="19" spans="1:24">
      <c r="A19" s="106"/>
      <c r="B19" s="107"/>
      <c r="C19" s="24" t="s">
        <v>296</v>
      </c>
      <c r="D19" s="27">
        <f ca="1">D17+ROUNDDOWN(D17*D18,0)</f>
        <v>0</v>
      </c>
      <c r="E19" s="27">
        <f t="shared" ref="E19:X19" ca="1" si="8">E17+ROUNDDOWN(E17*E18,0)</f>
        <v>0</v>
      </c>
      <c r="F19" s="27">
        <f t="shared" ca="1" si="8"/>
        <v>0</v>
      </c>
      <c r="G19" s="27">
        <f t="shared" ca="1" si="8"/>
        <v>0</v>
      </c>
      <c r="H19" s="27">
        <f t="shared" ca="1" si="8"/>
        <v>0</v>
      </c>
      <c r="I19" s="27">
        <f t="shared" ca="1" si="8"/>
        <v>0</v>
      </c>
      <c r="J19" s="27">
        <f t="shared" ca="1" si="8"/>
        <v>0</v>
      </c>
      <c r="K19" s="27">
        <f t="shared" ca="1" si="8"/>
        <v>0</v>
      </c>
      <c r="L19" s="27">
        <f t="shared" ca="1" si="8"/>
        <v>0</v>
      </c>
      <c r="M19" s="27">
        <f t="shared" ca="1" si="8"/>
        <v>0</v>
      </c>
      <c r="N19" s="27">
        <f t="shared" ca="1" si="8"/>
        <v>0</v>
      </c>
      <c r="O19" s="27">
        <f t="shared" ca="1" si="8"/>
        <v>0</v>
      </c>
      <c r="P19" s="27">
        <f t="shared" ca="1" si="8"/>
        <v>0</v>
      </c>
      <c r="Q19" s="27">
        <f t="shared" ca="1" si="8"/>
        <v>0</v>
      </c>
      <c r="R19" s="27">
        <f t="shared" ca="1" si="8"/>
        <v>0</v>
      </c>
      <c r="S19" s="27">
        <f t="shared" ca="1" si="8"/>
        <v>0</v>
      </c>
      <c r="T19" s="27">
        <f t="shared" ca="1" si="8"/>
        <v>0</v>
      </c>
      <c r="U19" s="27">
        <f t="shared" ca="1" si="8"/>
        <v>0</v>
      </c>
      <c r="V19" s="27">
        <f t="shared" ca="1" si="8"/>
        <v>0</v>
      </c>
      <c r="W19" s="27">
        <f t="shared" ca="1" si="8"/>
        <v>0</v>
      </c>
      <c r="X19" s="27">
        <f t="shared" ca="1" si="8"/>
        <v>0</v>
      </c>
    </row>
    <row r="20" spans="1:24">
      <c r="A20" s="106"/>
      <c r="B20" s="107"/>
      <c r="C20" s="24" t="s">
        <v>322</v>
      </c>
      <c r="D20" s="20">
        <f>あなたの所得控除情報!$E8</f>
        <v>0</v>
      </c>
      <c r="E20" s="20">
        <f>あなたの所得控除情報!$E8</f>
        <v>0</v>
      </c>
      <c r="F20" s="20">
        <f>あなたの所得控除情報!$E8</f>
        <v>0</v>
      </c>
      <c r="G20" s="20">
        <f>あなたの所得控除情報!$E8</f>
        <v>0</v>
      </c>
      <c r="H20" s="20">
        <f>あなたの所得控除情報!$E8</f>
        <v>0</v>
      </c>
      <c r="I20" s="20">
        <f>あなたの所得控除情報!$E8</f>
        <v>0</v>
      </c>
      <c r="J20" s="20">
        <f>あなたの所得控除情報!$E8</f>
        <v>0</v>
      </c>
      <c r="K20" s="20">
        <f>あなたの所得控除情報!$E8</f>
        <v>0</v>
      </c>
      <c r="L20" s="20">
        <f>あなたの所得控除情報!$E8</f>
        <v>0</v>
      </c>
      <c r="M20" s="20">
        <f>あなたの所得控除情報!$E8</f>
        <v>0</v>
      </c>
      <c r="N20" s="20">
        <f>あなたの所得控除情報!$E8</f>
        <v>0</v>
      </c>
      <c r="O20" s="20">
        <f>あなたの所得控除情報!$E8</f>
        <v>0</v>
      </c>
      <c r="P20" s="20">
        <f>あなたの所得控除情報!$E8</f>
        <v>0</v>
      </c>
      <c r="Q20" s="20">
        <f>あなたの所得控除情報!$E8</f>
        <v>0</v>
      </c>
      <c r="R20" s="20">
        <f>あなたの所得控除情報!$E8</f>
        <v>0</v>
      </c>
      <c r="S20" s="20">
        <f>あなたの所得控除情報!$E8</f>
        <v>0</v>
      </c>
      <c r="T20" s="20">
        <f>あなたの所得控除情報!$E8</f>
        <v>0</v>
      </c>
      <c r="U20" s="20">
        <f>あなたの所得控除情報!$E8</f>
        <v>0</v>
      </c>
      <c r="V20" s="20">
        <f>あなたの所得控除情報!$E8</f>
        <v>0</v>
      </c>
      <c r="W20" s="20">
        <f>あなたの所得控除情報!$E8</f>
        <v>0</v>
      </c>
      <c r="X20" s="20">
        <f>あなたの所得控除情報!$E8</f>
        <v>0</v>
      </c>
    </row>
    <row r="21" spans="1:24">
      <c r="A21" s="108"/>
      <c r="B21" s="109"/>
      <c r="C21" s="24" t="s">
        <v>323</v>
      </c>
      <c r="D21" s="27">
        <f ca="1">IF(D20&gt;=D19,D19-D20,ROUNDDOWN(D19-D20,-2))</f>
        <v>0</v>
      </c>
      <c r="E21" s="27">
        <f t="shared" ref="E21:X21" ca="1" si="9">IF(E20&gt;=E19,E19-E20,ROUNDDOWN(E19-E20,-2))</f>
        <v>0</v>
      </c>
      <c r="F21" s="27">
        <f t="shared" ca="1" si="9"/>
        <v>0</v>
      </c>
      <c r="G21" s="27">
        <f t="shared" ca="1" si="9"/>
        <v>0</v>
      </c>
      <c r="H21" s="27">
        <f t="shared" ca="1" si="9"/>
        <v>0</v>
      </c>
      <c r="I21" s="27">
        <f t="shared" ca="1" si="9"/>
        <v>0</v>
      </c>
      <c r="J21" s="27">
        <f t="shared" ca="1" si="9"/>
        <v>0</v>
      </c>
      <c r="K21" s="27">
        <f t="shared" ca="1" si="9"/>
        <v>0</v>
      </c>
      <c r="L21" s="27">
        <f t="shared" ca="1" si="9"/>
        <v>0</v>
      </c>
      <c r="M21" s="27">
        <f t="shared" ca="1" si="9"/>
        <v>0</v>
      </c>
      <c r="N21" s="27">
        <f t="shared" ca="1" si="9"/>
        <v>0</v>
      </c>
      <c r="O21" s="27">
        <f t="shared" ca="1" si="9"/>
        <v>0</v>
      </c>
      <c r="P21" s="27">
        <f t="shared" ca="1" si="9"/>
        <v>0</v>
      </c>
      <c r="Q21" s="27">
        <f t="shared" ca="1" si="9"/>
        <v>0</v>
      </c>
      <c r="R21" s="27">
        <f t="shared" ca="1" si="9"/>
        <v>0</v>
      </c>
      <c r="S21" s="27">
        <f t="shared" ca="1" si="9"/>
        <v>0</v>
      </c>
      <c r="T21" s="27">
        <f t="shared" ca="1" si="9"/>
        <v>0</v>
      </c>
      <c r="U21" s="27">
        <f t="shared" ca="1" si="9"/>
        <v>0</v>
      </c>
      <c r="V21" s="27">
        <f t="shared" ca="1" si="9"/>
        <v>0</v>
      </c>
      <c r="W21" s="27">
        <f t="shared" ca="1" si="9"/>
        <v>0</v>
      </c>
      <c r="X21" s="27">
        <f t="shared" ca="1" si="9"/>
        <v>0</v>
      </c>
    </row>
    <row r="22" spans="1:24">
      <c r="A22" s="103" t="s">
        <v>295</v>
      </c>
      <c r="B22" s="103" t="s">
        <v>317</v>
      </c>
      <c r="C22" s="24" t="s">
        <v>301</v>
      </c>
      <c r="D22" s="20">
        <f ca="1">申告計算!$O3</f>
        <v>0</v>
      </c>
      <c r="E22" s="20">
        <f ca="1">申告計算!$O3</f>
        <v>0</v>
      </c>
      <c r="F22" s="20">
        <f ca="1">申告計算!$O3</f>
        <v>0</v>
      </c>
      <c r="G22" s="20">
        <f ca="1">申告計算!$O3</f>
        <v>0</v>
      </c>
      <c r="H22" s="20">
        <f ca="1">申告計算!$O3</f>
        <v>0</v>
      </c>
      <c r="I22" s="20">
        <f ca="1">申告計算!$O3</f>
        <v>0</v>
      </c>
      <c r="J22" s="20">
        <f ca="1">申告計算!$O3</f>
        <v>0</v>
      </c>
      <c r="K22" s="20">
        <f ca="1">申告計算!$O3</f>
        <v>0</v>
      </c>
      <c r="L22" s="20">
        <f ca="1">申告計算!$O3</f>
        <v>0</v>
      </c>
      <c r="M22" s="20">
        <f ca="1">申告計算!$O3</f>
        <v>0</v>
      </c>
      <c r="N22" s="20">
        <f ca="1">申告計算!$O3</f>
        <v>0</v>
      </c>
      <c r="O22" s="20">
        <f ca="1">申告計算!$O3</f>
        <v>0</v>
      </c>
      <c r="P22" s="20">
        <f ca="1">申告計算!$O3</f>
        <v>0</v>
      </c>
      <c r="Q22" s="20">
        <f ca="1">申告計算!$O3</f>
        <v>0</v>
      </c>
      <c r="R22" s="20">
        <f ca="1">申告計算!$O3</f>
        <v>0</v>
      </c>
      <c r="S22" s="20">
        <f ca="1">申告計算!$O3</f>
        <v>0</v>
      </c>
      <c r="T22" s="20">
        <f ca="1">申告計算!$O3</f>
        <v>0</v>
      </c>
      <c r="U22" s="20">
        <f ca="1">申告計算!$O3</f>
        <v>0</v>
      </c>
      <c r="V22" s="20">
        <f ca="1">申告計算!$O3</f>
        <v>0</v>
      </c>
      <c r="W22" s="20">
        <f ca="1">申告計算!$O3</f>
        <v>0</v>
      </c>
      <c r="X22" s="20">
        <f ca="1">申告計算!$O3</f>
        <v>0</v>
      </c>
    </row>
    <row r="23" spans="1:24">
      <c r="A23" s="103"/>
      <c r="B23" s="103"/>
      <c r="C23" s="10" t="s">
        <v>302</v>
      </c>
      <c r="D23" s="50">
        <f>申告計算!$O6</f>
        <v>0.06</v>
      </c>
      <c r="E23" s="50">
        <f>申告計算!$O6</f>
        <v>0.06</v>
      </c>
      <c r="F23" s="50">
        <f>申告計算!$O6</f>
        <v>0.06</v>
      </c>
      <c r="G23" s="50">
        <f>申告計算!$O6</f>
        <v>0.06</v>
      </c>
      <c r="H23" s="50">
        <f>申告計算!$O6</f>
        <v>0.06</v>
      </c>
      <c r="I23" s="50">
        <f>申告計算!$O6</f>
        <v>0.06</v>
      </c>
      <c r="J23" s="50">
        <f>申告計算!$O6</f>
        <v>0.06</v>
      </c>
      <c r="K23" s="50">
        <f>申告計算!$O6</f>
        <v>0.06</v>
      </c>
      <c r="L23" s="50">
        <f>申告計算!$O6</f>
        <v>0.06</v>
      </c>
      <c r="M23" s="50">
        <f>申告計算!$O6</f>
        <v>0.06</v>
      </c>
      <c r="N23" s="50">
        <f>申告計算!$O6</f>
        <v>0.06</v>
      </c>
      <c r="O23" s="50">
        <f>申告計算!$O6</f>
        <v>0.06</v>
      </c>
      <c r="P23" s="50">
        <f>申告計算!$O6</f>
        <v>0.06</v>
      </c>
      <c r="Q23" s="50">
        <f>申告計算!$O6</f>
        <v>0.06</v>
      </c>
      <c r="R23" s="50">
        <f>申告計算!$O6</f>
        <v>0.06</v>
      </c>
      <c r="S23" s="50">
        <f>申告計算!$O6</f>
        <v>0.06</v>
      </c>
      <c r="T23" s="50">
        <f>申告計算!$O6</f>
        <v>0.06</v>
      </c>
      <c r="U23" s="50">
        <f>申告計算!$O6</f>
        <v>0.06</v>
      </c>
      <c r="V23" s="50">
        <f>申告計算!$O6</f>
        <v>0.06</v>
      </c>
      <c r="W23" s="50">
        <f>申告計算!$O6</f>
        <v>0.06</v>
      </c>
      <c r="X23" s="50">
        <f>申告計算!$O6</f>
        <v>0.06</v>
      </c>
    </row>
    <row r="24" spans="1:24">
      <c r="A24" s="103"/>
      <c r="B24" s="103"/>
      <c r="C24" s="10" t="s">
        <v>303</v>
      </c>
      <c r="D24" s="50">
        <f>申告計算!$P6</f>
        <v>0.04</v>
      </c>
      <c r="E24" s="50">
        <f>申告計算!$P6</f>
        <v>0.04</v>
      </c>
      <c r="F24" s="50">
        <f>申告計算!$P6</f>
        <v>0.04</v>
      </c>
      <c r="G24" s="50">
        <f>申告計算!$P6</f>
        <v>0.04</v>
      </c>
      <c r="H24" s="50">
        <f>申告計算!$P6</f>
        <v>0.04</v>
      </c>
      <c r="I24" s="50">
        <f>申告計算!$P6</f>
        <v>0.04</v>
      </c>
      <c r="J24" s="50">
        <f>申告計算!$P6</f>
        <v>0.04</v>
      </c>
      <c r="K24" s="50">
        <f>申告計算!$P6</f>
        <v>0.04</v>
      </c>
      <c r="L24" s="50">
        <f>申告計算!$P6</f>
        <v>0.04</v>
      </c>
      <c r="M24" s="50">
        <f>申告計算!$P6</f>
        <v>0.04</v>
      </c>
      <c r="N24" s="50">
        <f>申告計算!$P6</f>
        <v>0.04</v>
      </c>
      <c r="O24" s="50">
        <f>申告計算!$P6</f>
        <v>0.04</v>
      </c>
      <c r="P24" s="50">
        <f>申告計算!$P6</f>
        <v>0.04</v>
      </c>
      <c r="Q24" s="50">
        <f>申告計算!$P6</f>
        <v>0.04</v>
      </c>
      <c r="R24" s="50">
        <f>申告計算!$P6</f>
        <v>0.04</v>
      </c>
      <c r="S24" s="50">
        <f>申告計算!$P6</f>
        <v>0.04</v>
      </c>
      <c r="T24" s="50">
        <f>申告計算!$P6</f>
        <v>0.04</v>
      </c>
      <c r="U24" s="50">
        <f>申告計算!$P6</f>
        <v>0.04</v>
      </c>
      <c r="V24" s="50">
        <f>申告計算!$P6</f>
        <v>0.04</v>
      </c>
      <c r="W24" s="50">
        <f>申告計算!$P6</f>
        <v>0.04</v>
      </c>
      <c r="X24" s="50">
        <f>申告計算!$P6</f>
        <v>0.04</v>
      </c>
    </row>
    <row r="25" spans="1:24">
      <c r="A25" s="103"/>
      <c r="B25" s="103" t="s">
        <v>296</v>
      </c>
      <c r="C25" s="10" t="s">
        <v>294</v>
      </c>
      <c r="D25" s="20">
        <f ca="1">申告計算!$O26</f>
        <v>0</v>
      </c>
      <c r="E25" s="20">
        <f ca="1">申告計算!$O26</f>
        <v>0</v>
      </c>
      <c r="F25" s="20">
        <f ca="1">申告計算!$O26</f>
        <v>0</v>
      </c>
      <c r="G25" s="20">
        <f ca="1">申告計算!$O26</f>
        <v>0</v>
      </c>
      <c r="H25" s="20">
        <f ca="1">申告計算!$O26</f>
        <v>0</v>
      </c>
      <c r="I25" s="20">
        <f ca="1">申告計算!$O26</f>
        <v>0</v>
      </c>
      <c r="J25" s="20">
        <f ca="1">申告計算!$O26</f>
        <v>0</v>
      </c>
      <c r="K25" s="20">
        <f ca="1">申告計算!$O26</f>
        <v>0</v>
      </c>
      <c r="L25" s="20">
        <f ca="1">申告計算!$O26</f>
        <v>0</v>
      </c>
      <c r="M25" s="20">
        <f ca="1">申告計算!$O26</f>
        <v>0</v>
      </c>
      <c r="N25" s="20">
        <f ca="1">申告計算!$O26</f>
        <v>0</v>
      </c>
      <c r="O25" s="20">
        <f ca="1">申告計算!$O26</f>
        <v>0</v>
      </c>
      <c r="P25" s="20">
        <f ca="1">申告計算!$O26</f>
        <v>0</v>
      </c>
      <c r="Q25" s="20">
        <f ca="1">申告計算!$O26</f>
        <v>0</v>
      </c>
      <c r="R25" s="20">
        <f ca="1">申告計算!$O26</f>
        <v>0</v>
      </c>
      <c r="S25" s="20">
        <f ca="1">申告計算!$O26</f>
        <v>0</v>
      </c>
      <c r="T25" s="20">
        <f ca="1">申告計算!$O26</f>
        <v>0</v>
      </c>
      <c r="U25" s="20">
        <f ca="1">申告計算!$O26</f>
        <v>0</v>
      </c>
      <c r="V25" s="20">
        <f ca="1">申告計算!$O26</f>
        <v>0</v>
      </c>
      <c r="W25" s="20">
        <f ca="1">申告計算!$O26</f>
        <v>0</v>
      </c>
      <c r="X25" s="20">
        <f ca="1">申告計算!$O26</f>
        <v>0</v>
      </c>
    </row>
    <row r="26" spans="1:24">
      <c r="A26" s="103"/>
      <c r="B26" s="103"/>
      <c r="C26" s="10" t="s">
        <v>299</v>
      </c>
      <c r="D26" s="20">
        <f ca="1">申告計算!$P26</f>
        <v>0</v>
      </c>
      <c r="E26" s="20">
        <f ca="1">申告計算!$P26</f>
        <v>0</v>
      </c>
      <c r="F26" s="20">
        <f ca="1">申告計算!$P26</f>
        <v>0</v>
      </c>
      <c r="G26" s="20">
        <f ca="1">申告計算!$P26</f>
        <v>0</v>
      </c>
      <c r="H26" s="20">
        <f ca="1">申告計算!$P26</f>
        <v>0</v>
      </c>
      <c r="I26" s="20">
        <f ca="1">申告計算!$P26</f>
        <v>0</v>
      </c>
      <c r="J26" s="20">
        <f ca="1">申告計算!$P26</f>
        <v>0</v>
      </c>
      <c r="K26" s="20">
        <f ca="1">申告計算!$P26</f>
        <v>0</v>
      </c>
      <c r="L26" s="20">
        <f ca="1">申告計算!$P26</f>
        <v>0</v>
      </c>
      <c r="M26" s="20">
        <f ca="1">申告計算!$P26</f>
        <v>0</v>
      </c>
      <c r="N26" s="20">
        <f ca="1">申告計算!$P26</f>
        <v>0</v>
      </c>
      <c r="O26" s="20">
        <f ca="1">申告計算!$P26</f>
        <v>0</v>
      </c>
      <c r="P26" s="20">
        <f ca="1">申告計算!$P26</f>
        <v>0</v>
      </c>
      <c r="Q26" s="20">
        <f ca="1">申告計算!$P26</f>
        <v>0</v>
      </c>
      <c r="R26" s="20">
        <f ca="1">申告計算!$P26</f>
        <v>0</v>
      </c>
      <c r="S26" s="20">
        <f ca="1">申告計算!$P26</f>
        <v>0</v>
      </c>
      <c r="T26" s="20">
        <f ca="1">申告計算!$P26</f>
        <v>0</v>
      </c>
      <c r="U26" s="20">
        <f ca="1">申告計算!$P26</f>
        <v>0</v>
      </c>
      <c r="V26" s="20">
        <f ca="1">申告計算!$P26</f>
        <v>0</v>
      </c>
      <c r="W26" s="20">
        <f ca="1">申告計算!$P26</f>
        <v>0</v>
      </c>
      <c r="X26" s="20">
        <f ca="1">申告計算!$P26</f>
        <v>0</v>
      </c>
    </row>
    <row r="27" spans="1:24">
      <c r="A27" s="103"/>
      <c r="B27" s="103"/>
      <c r="C27" s="24" t="s">
        <v>140</v>
      </c>
      <c r="D27" s="20">
        <f ca="1">D25+D26</f>
        <v>0</v>
      </c>
      <c r="E27" s="20">
        <f t="shared" ref="E27:X27" ca="1" si="10">E25+E26</f>
        <v>0</v>
      </c>
      <c r="F27" s="20">
        <f t="shared" ca="1" si="10"/>
        <v>0</v>
      </c>
      <c r="G27" s="20">
        <f t="shared" ca="1" si="10"/>
        <v>0</v>
      </c>
      <c r="H27" s="20">
        <f t="shared" ca="1" si="10"/>
        <v>0</v>
      </c>
      <c r="I27" s="20">
        <f t="shared" ca="1" si="10"/>
        <v>0</v>
      </c>
      <c r="J27" s="20">
        <f t="shared" ca="1" si="10"/>
        <v>0</v>
      </c>
      <c r="K27" s="20">
        <f t="shared" ca="1" si="10"/>
        <v>0</v>
      </c>
      <c r="L27" s="20">
        <f t="shared" ca="1" si="10"/>
        <v>0</v>
      </c>
      <c r="M27" s="20">
        <f t="shared" ca="1" si="10"/>
        <v>0</v>
      </c>
      <c r="N27" s="20">
        <f t="shared" ca="1" si="10"/>
        <v>0</v>
      </c>
      <c r="O27" s="20">
        <f t="shared" ca="1" si="10"/>
        <v>0</v>
      </c>
      <c r="P27" s="20">
        <f t="shared" ca="1" si="10"/>
        <v>0</v>
      </c>
      <c r="Q27" s="20">
        <f t="shared" ca="1" si="10"/>
        <v>0</v>
      </c>
      <c r="R27" s="20">
        <f t="shared" ca="1" si="10"/>
        <v>0</v>
      </c>
      <c r="S27" s="20">
        <f t="shared" ca="1" si="10"/>
        <v>0</v>
      </c>
      <c r="T27" s="20">
        <f t="shared" ca="1" si="10"/>
        <v>0</v>
      </c>
      <c r="U27" s="20">
        <f t="shared" ca="1" si="10"/>
        <v>0</v>
      </c>
      <c r="V27" s="20">
        <f t="shared" ca="1" si="10"/>
        <v>0</v>
      </c>
      <c r="W27" s="20">
        <f t="shared" ca="1" si="10"/>
        <v>0</v>
      </c>
      <c r="X27" s="20">
        <f t="shared" ca="1" si="10"/>
        <v>0</v>
      </c>
    </row>
    <row r="28" spans="1:24">
      <c r="A28" s="103" t="s">
        <v>297</v>
      </c>
      <c r="B28" s="103" t="s">
        <v>294</v>
      </c>
      <c r="C28" s="24" t="s">
        <v>298</v>
      </c>
      <c r="D28" s="20">
        <f ca="1">申告計算!$O11</f>
        <v>0</v>
      </c>
      <c r="E28" s="20">
        <f ca="1">申告計算!$O11</f>
        <v>0</v>
      </c>
      <c r="F28" s="20">
        <f ca="1">申告計算!$O11</f>
        <v>0</v>
      </c>
      <c r="G28" s="20">
        <f ca="1">申告計算!$O11</f>
        <v>0</v>
      </c>
      <c r="H28" s="20">
        <f ca="1">申告計算!$O11</f>
        <v>0</v>
      </c>
      <c r="I28" s="20">
        <f ca="1">申告計算!$O11</f>
        <v>0</v>
      </c>
      <c r="J28" s="20">
        <f ca="1">申告計算!$O11</f>
        <v>0</v>
      </c>
      <c r="K28" s="20">
        <f ca="1">申告計算!$O11</f>
        <v>0</v>
      </c>
      <c r="L28" s="20">
        <f ca="1">申告計算!$O11</f>
        <v>0</v>
      </c>
      <c r="M28" s="20">
        <f ca="1">申告計算!$O11</f>
        <v>0</v>
      </c>
      <c r="N28" s="20">
        <f ca="1">申告計算!$O11</f>
        <v>0</v>
      </c>
      <c r="O28" s="20">
        <f ca="1">申告計算!$O11</f>
        <v>0</v>
      </c>
      <c r="P28" s="20">
        <f ca="1">申告計算!$O11</f>
        <v>0</v>
      </c>
      <c r="Q28" s="20">
        <f ca="1">申告計算!$O11</f>
        <v>0</v>
      </c>
      <c r="R28" s="20">
        <f ca="1">申告計算!$O11</f>
        <v>0</v>
      </c>
      <c r="S28" s="20">
        <f ca="1">申告計算!$O11</f>
        <v>0</v>
      </c>
      <c r="T28" s="20">
        <f ca="1">申告計算!$O11</f>
        <v>0</v>
      </c>
      <c r="U28" s="20">
        <f ca="1">申告計算!$O11</f>
        <v>0</v>
      </c>
      <c r="V28" s="20">
        <f ca="1">申告計算!$O11</f>
        <v>0</v>
      </c>
      <c r="W28" s="20">
        <f ca="1">申告計算!$O11</f>
        <v>0</v>
      </c>
      <c r="X28" s="20">
        <f ca="1">申告計算!$O11</f>
        <v>0</v>
      </c>
    </row>
    <row r="29" spans="1:24">
      <c r="A29" s="103"/>
      <c r="B29" s="103"/>
      <c r="C29" s="24" t="s">
        <v>300</v>
      </c>
      <c r="D29" s="20">
        <f ca="1">申告計算!$O14</f>
        <v>0</v>
      </c>
      <c r="E29" s="20">
        <f ca="1">申告計算!$O14</f>
        <v>0</v>
      </c>
      <c r="F29" s="20">
        <f ca="1">申告計算!$O14</f>
        <v>0</v>
      </c>
      <c r="G29" s="20">
        <f ca="1">申告計算!$O14</f>
        <v>0</v>
      </c>
      <c r="H29" s="20">
        <f ca="1">申告計算!$O14</f>
        <v>0</v>
      </c>
      <c r="I29" s="20">
        <f ca="1">申告計算!$O14</f>
        <v>0</v>
      </c>
      <c r="J29" s="20">
        <f ca="1">申告計算!$O14</f>
        <v>0</v>
      </c>
      <c r="K29" s="20">
        <f ca="1">申告計算!$O14</f>
        <v>0</v>
      </c>
      <c r="L29" s="20">
        <f ca="1">申告計算!$O14</f>
        <v>0</v>
      </c>
      <c r="M29" s="20">
        <f ca="1">申告計算!$O14</f>
        <v>0</v>
      </c>
      <c r="N29" s="20">
        <f ca="1">申告計算!$O14</f>
        <v>0</v>
      </c>
      <c r="O29" s="20">
        <f ca="1">申告計算!$O14</f>
        <v>0</v>
      </c>
      <c r="P29" s="20">
        <f ca="1">申告計算!$O14</f>
        <v>0</v>
      </c>
      <c r="Q29" s="20">
        <f ca="1">申告計算!$O14</f>
        <v>0</v>
      </c>
      <c r="R29" s="20">
        <f ca="1">申告計算!$O14</f>
        <v>0</v>
      </c>
      <c r="S29" s="20">
        <f ca="1">申告計算!$O14</f>
        <v>0</v>
      </c>
      <c r="T29" s="20">
        <f ca="1">申告計算!$O14</f>
        <v>0</v>
      </c>
      <c r="U29" s="20">
        <f ca="1">申告計算!$O14</f>
        <v>0</v>
      </c>
      <c r="V29" s="20">
        <f ca="1">申告計算!$O14</f>
        <v>0</v>
      </c>
      <c r="W29" s="20">
        <f ca="1">申告計算!$O14</f>
        <v>0</v>
      </c>
      <c r="X29" s="20">
        <f ca="1">申告計算!$O14</f>
        <v>0</v>
      </c>
    </row>
    <row r="30" spans="1:24">
      <c r="A30" s="103"/>
      <c r="B30" s="103"/>
      <c r="C30" s="18" t="s">
        <v>283</v>
      </c>
      <c r="D30" s="20">
        <f>申告計算!$O15</f>
        <v>0</v>
      </c>
      <c r="E30" s="20">
        <f>申告計算!$O15</f>
        <v>0</v>
      </c>
      <c r="F30" s="20">
        <f>申告計算!$O15</f>
        <v>0</v>
      </c>
      <c r="G30" s="20">
        <f>申告計算!$O15</f>
        <v>0</v>
      </c>
      <c r="H30" s="20">
        <f>申告計算!$O15</f>
        <v>0</v>
      </c>
      <c r="I30" s="20">
        <f>申告計算!$O15</f>
        <v>0</v>
      </c>
      <c r="J30" s="20">
        <f>申告計算!$O15</f>
        <v>0</v>
      </c>
      <c r="K30" s="20">
        <f>申告計算!$O15</f>
        <v>0</v>
      </c>
      <c r="L30" s="20">
        <f>申告計算!$O15</f>
        <v>0</v>
      </c>
      <c r="M30" s="20">
        <f>申告計算!$O15</f>
        <v>0</v>
      </c>
      <c r="N30" s="20">
        <f>申告計算!$O15</f>
        <v>0</v>
      </c>
      <c r="O30" s="20">
        <f>申告計算!$O15</f>
        <v>0</v>
      </c>
      <c r="P30" s="20">
        <f>申告計算!$O15</f>
        <v>0</v>
      </c>
      <c r="Q30" s="20">
        <f>申告計算!$O15</f>
        <v>0</v>
      </c>
      <c r="R30" s="20">
        <f>申告計算!$O15</f>
        <v>0</v>
      </c>
      <c r="S30" s="20">
        <f>申告計算!$O15</f>
        <v>0</v>
      </c>
      <c r="T30" s="20">
        <f>申告計算!$O15</f>
        <v>0</v>
      </c>
      <c r="U30" s="20">
        <f>申告計算!$O15</f>
        <v>0</v>
      </c>
      <c r="V30" s="20">
        <f>申告計算!$O15</f>
        <v>0</v>
      </c>
      <c r="W30" s="20">
        <f>申告計算!$O15</f>
        <v>0</v>
      </c>
      <c r="X30" s="20">
        <f>申告計算!$O15</f>
        <v>0</v>
      </c>
    </row>
    <row r="31" spans="1:24">
      <c r="A31" s="103"/>
      <c r="B31" s="103"/>
      <c r="C31" s="24" t="s">
        <v>286</v>
      </c>
      <c r="D31" s="20">
        <f t="shared" ref="D31:X31" si="11">D1+D30</f>
        <v>0</v>
      </c>
      <c r="E31" s="20">
        <f t="shared" ca="1" si="11"/>
        <v>1000</v>
      </c>
      <c r="F31" s="20">
        <f t="shared" ca="1" si="11"/>
        <v>2000</v>
      </c>
      <c r="G31" s="20">
        <f t="shared" ca="1" si="11"/>
        <v>3000</v>
      </c>
      <c r="H31" s="20">
        <f t="shared" ca="1" si="11"/>
        <v>4000</v>
      </c>
      <c r="I31" s="20">
        <f t="shared" ca="1" si="11"/>
        <v>5000</v>
      </c>
      <c r="J31" s="20">
        <f t="shared" ca="1" si="11"/>
        <v>6000</v>
      </c>
      <c r="K31" s="20">
        <f t="shared" ca="1" si="11"/>
        <v>7000</v>
      </c>
      <c r="L31" s="20">
        <f t="shared" ca="1" si="11"/>
        <v>8000</v>
      </c>
      <c r="M31" s="20">
        <f t="shared" ca="1" si="11"/>
        <v>9000</v>
      </c>
      <c r="N31" s="20">
        <f t="shared" ca="1" si="11"/>
        <v>10000</v>
      </c>
      <c r="O31" s="20">
        <f t="shared" ca="1" si="11"/>
        <v>11000</v>
      </c>
      <c r="P31" s="20">
        <f t="shared" ca="1" si="11"/>
        <v>12000</v>
      </c>
      <c r="Q31" s="20">
        <f t="shared" ca="1" si="11"/>
        <v>13000</v>
      </c>
      <c r="R31" s="20">
        <f t="shared" ca="1" si="11"/>
        <v>14000</v>
      </c>
      <c r="S31" s="20">
        <f t="shared" ca="1" si="11"/>
        <v>15000</v>
      </c>
      <c r="T31" s="20">
        <f t="shared" ca="1" si="11"/>
        <v>16000</v>
      </c>
      <c r="U31" s="20">
        <f t="shared" ca="1" si="11"/>
        <v>17000</v>
      </c>
      <c r="V31" s="20">
        <f t="shared" ca="1" si="11"/>
        <v>18000</v>
      </c>
      <c r="W31" s="20">
        <f t="shared" ca="1" si="11"/>
        <v>19000</v>
      </c>
      <c r="X31" s="20">
        <f t="shared" ca="1" si="11"/>
        <v>20000</v>
      </c>
    </row>
    <row r="32" spans="1:24">
      <c r="A32" s="103"/>
      <c r="B32" s="103"/>
      <c r="C32" s="24" t="s">
        <v>304</v>
      </c>
      <c r="D32" s="27">
        <f ca="1">ROUNDUP(D$22*0.3,0)</f>
        <v>0</v>
      </c>
      <c r="E32" s="27">
        <f t="shared" ref="E32:X32" ca="1" si="12">ROUNDUP(E$22*0.3,0)</f>
        <v>0</v>
      </c>
      <c r="F32" s="27">
        <f t="shared" ca="1" si="12"/>
        <v>0</v>
      </c>
      <c r="G32" s="27">
        <f t="shared" ca="1" si="12"/>
        <v>0</v>
      </c>
      <c r="H32" s="27">
        <f t="shared" ca="1" si="12"/>
        <v>0</v>
      </c>
      <c r="I32" s="27">
        <f t="shared" ca="1" si="12"/>
        <v>0</v>
      </c>
      <c r="J32" s="27">
        <f t="shared" ca="1" si="12"/>
        <v>0</v>
      </c>
      <c r="K32" s="27">
        <f t="shared" ca="1" si="12"/>
        <v>0</v>
      </c>
      <c r="L32" s="27">
        <f t="shared" ca="1" si="12"/>
        <v>0</v>
      </c>
      <c r="M32" s="27">
        <f t="shared" ca="1" si="12"/>
        <v>0</v>
      </c>
      <c r="N32" s="27">
        <f t="shared" ca="1" si="12"/>
        <v>0</v>
      </c>
      <c r="O32" s="27">
        <f t="shared" ca="1" si="12"/>
        <v>0</v>
      </c>
      <c r="P32" s="27">
        <f t="shared" ca="1" si="12"/>
        <v>0</v>
      </c>
      <c r="Q32" s="27">
        <f t="shared" ca="1" si="12"/>
        <v>0</v>
      </c>
      <c r="R32" s="27">
        <f t="shared" ca="1" si="12"/>
        <v>0</v>
      </c>
      <c r="S32" s="27">
        <f t="shared" ca="1" si="12"/>
        <v>0</v>
      </c>
      <c r="T32" s="27">
        <f t="shared" ca="1" si="12"/>
        <v>0</v>
      </c>
      <c r="U32" s="27">
        <f t="shared" ca="1" si="12"/>
        <v>0</v>
      </c>
      <c r="V32" s="27">
        <f t="shared" ca="1" si="12"/>
        <v>0</v>
      </c>
      <c r="W32" s="27">
        <f t="shared" ca="1" si="12"/>
        <v>0</v>
      </c>
      <c r="X32" s="27">
        <f t="shared" ca="1" si="12"/>
        <v>0</v>
      </c>
    </row>
    <row r="33" spans="1:24">
      <c r="A33" s="103"/>
      <c r="B33" s="103"/>
      <c r="C33" s="24" t="s">
        <v>305</v>
      </c>
      <c r="D33" s="20">
        <f ca="1">MAX(ROUNDUP((MIN(D32,D31)-2000)*D23,0),0)</f>
        <v>0</v>
      </c>
      <c r="E33" s="20">
        <f ca="1">MAX(ROUNDUP((MIN(E32,E31)-2000)*E23,0),0)</f>
        <v>0</v>
      </c>
      <c r="F33" s="20">
        <f t="shared" ref="F33:X33" ca="1" si="13">MAX(ROUNDUP((MIN(F32,F31)-2000)*F23,0),0)</f>
        <v>0</v>
      </c>
      <c r="G33" s="20">
        <f t="shared" ca="1" si="13"/>
        <v>0</v>
      </c>
      <c r="H33" s="20">
        <f t="shared" ca="1" si="13"/>
        <v>0</v>
      </c>
      <c r="I33" s="20">
        <f t="shared" ca="1" si="13"/>
        <v>0</v>
      </c>
      <c r="J33" s="20">
        <f t="shared" ca="1" si="13"/>
        <v>0</v>
      </c>
      <c r="K33" s="20">
        <f t="shared" ca="1" si="13"/>
        <v>0</v>
      </c>
      <c r="L33" s="20">
        <f t="shared" ca="1" si="13"/>
        <v>0</v>
      </c>
      <c r="M33" s="20">
        <f t="shared" ca="1" si="13"/>
        <v>0</v>
      </c>
      <c r="N33" s="20">
        <f t="shared" ca="1" si="13"/>
        <v>0</v>
      </c>
      <c r="O33" s="20">
        <f t="shared" ca="1" si="13"/>
        <v>0</v>
      </c>
      <c r="P33" s="20">
        <f t="shared" ca="1" si="13"/>
        <v>0</v>
      </c>
      <c r="Q33" s="20">
        <f t="shared" ca="1" si="13"/>
        <v>0</v>
      </c>
      <c r="R33" s="20">
        <f t="shared" ca="1" si="13"/>
        <v>0</v>
      </c>
      <c r="S33" s="20">
        <f t="shared" ca="1" si="13"/>
        <v>0</v>
      </c>
      <c r="T33" s="20">
        <f t="shared" ca="1" si="13"/>
        <v>0</v>
      </c>
      <c r="U33" s="20">
        <f t="shared" ca="1" si="13"/>
        <v>0</v>
      </c>
      <c r="V33" s="20">
        <f t="shared" ca="1" si="13"/>
        <v>0</v>
      </c>
      <c r="W33" s="20">
        <f t="shared" ca="1" si="13"/>
        <v>0</v>
      </c>
      <c r="X33" s="20">
        <f t="shared" ca="1" si="13"/>
        <v>0</v>
      </c>
    </row>
    <row r="34" spans="1:24">
      <c r="A34" s="103"/>
      <c r="B34" s="103"/>
      <c r="C34" s="24" t="s">
        <v>306</v>
      </c>
      <c r="D34" s="27">
        <f ca="1">ROUNDUP(D$28*0.2,0)</f>
        <v>0</v>
      </c>
      <c r="E34" s="27">
        <f t="shared" ref="E34:X34" ca="1" si="14">ROUNDUP(E$28*0.2,0)</f>
        <v>0</v>
      </c>
      <c r="F34" s="27">
        <f t="shared" ca="1" si="14"/>
        <v>0</v>
      </c>
      <c r="G34" s="27">
        <f t="shared" ca="1" si="14"/>
        <v>0</v>
      </c>
      <c r="H34" s="27">
        <f t="shared" ca="1" si="14"/>
        <v>0</v>
      </c>
      <c r="I34" s="27">
        <f t="shared" ca="1" si="14"/>
        <v>0</v>
      </c>
      <c r="J34" s="27">
        <f t="shared" ca="1" si="14"/>
        <v>0</v>
      </c>
      <c r="K34" s="27">
        <f t="shared" ca="1" si="14"/>
        <v>0</v>
      </c>
      <c r="L34" s="27">
        <f t="shared" ca="1" si="14"/>
        <v>0</v>
      </c>
      <c r="M34" s="27">
        <f t="shared" ca="1" si="14"/>
        <v>0</v>
      </c>
      <c r="N34" s="27">
        <f t="shared" ca="1" si="14"/>
        <v>0</v>
      </c>
      <c r="O34" s="27">
        <f t="shared" ca="1" si="14"/>
        <v>0</v>
      </c>
      <c r="P34" s="27">
        <f t="shared" ca="1" si="14"/>
        <v>0</v>
      </c>
      <c r="Q34" s="27">
        <f t="shared" ca="1" si="14"/>
        <v>0</v>
      </c>
      <c r="R34" s="27">
        <f t="shared" ca="1" si="14"/>
        <v>0</v>
      </c>
      <c r="S34" s="27">
        <f t="shared" ca="1" si="14"/>
        <v>0</v>
      </c>
      <c r="T34" s="27">
        <f t="shared" ca="1" si="14"/>
        <v>0</v>
      </c>
      <c r="U34" s="27">
        <f t="shared" ca="1" si="14"/>
        <v>0</v>
      </c>
      <c r="V34" s="27">
        <f t="shared" ca="1" si="14"/>
        <v>0</v>
      </c>
      <c r="W34" s="27">
        <f t="shared" ca="1" si="14"/>
        <v>0</v>
      </c>
      <c r="X34" s="27">
        <f t="shared" ca="1" si="14"/>
        <v>0</v>
      </c>
    </row>
    <row r="35" spans="1:24">
      <c r="A35" s="103"/>
      <c r="B35" s="103"/>
      <c r="C35" s="24" t="s">
        <v>307</v>
      </c>
      <c r="D35" s="20">
        <f t="shared" ref="D35:X35" ca="1" si="15">MAX(MIN(ROUNDUP(((D$1-2000)*(0.9-D12*(1+D18)))*D23/(D23+D24),0),D34),0)</f>
        <v>0</v>
      </c>
      <c r="E35" s="20">
        <f t="shared" ca="1" si="15"/>
        <v>0</v>
      </c>
      <c r="F35" s="20">
        <f t="shared" ca="1" si="15"/>
        <v>0</v>
      </c>
      <c r="G35" s="20">
        <f t="shared" ca="1" si="15"/>
        <v>0</v>
      </c>
      <c r="H35" s="20">
        <f t="shared" ca="1" si="15"/>
        <v>0</v>
      </c>
      <c r="I35" s="20">
        <f t="shared" ca="1" si="15"/>
        <v>0</v>
      </c>
      <c r="J35" s="20">
        <f t="shared" ca="1" si="15"/>
        <v>0</v>
      </c>
      <c r="K35" s="20">
        <f t="shared" ca="1" si="15"/>
        <v>0</v>
      </c>
      <c r="L35" s="20">
        <f t="shared" ca="1" si="15"/>
        <v>0</v>
      </c>
      <c r="M35" s="20">
        <f t="shared" ca="1" si="15"/>
        <v>0</v>
      </c>
      <c r="N35" s="20">
        <f t="shared" ca="1" si="15"/>
        <v>0</v>
      </c>
      <c r="O35" s="20">
        <f t="shared" ca="1" si="15"/>
        <v>0</v>
      </c>
      <c r="P35" s="20">
        <f t="shared" ca="1" si="15"/>
        <v>0</v>
      </c>
      <c r="Q35" s="20">
        <f t="shared" ca="1" si="15"/>
        <v>0</v>
      </c>
      <c r="R35" s="20">
        <f t="shared" ca="1" si="15"/>
        <v>0</v>
      </c>
      <c r="S35" s="20">
        <f t="shared" ca="1" si="15"/>
        <v>0</v>
      </c>
      <c r="T35" s="20">
        <f t="shared" ca="1" si="15"/>
        <v>0</v>
      </c>
      <c r="U35" s="20">
        <f t="shared" ca="1" si="15"/>
        <v>0</v>
      </c>
      <c r="V35" s="20">
        <f t="shared" ca="1" si="15"/>
        <v>0</v>
      </c>
      <c r="W35" s="20">
        <f t="shared" ca="1" si="15"/>
        <v>0</v>
      </c>
      <c r="X35" s="20">
        <f t="shared" ca="1" si="15"/>
        <v>0</v>
      </c>
    </row>
    <row r="36" spans="1:24">
      <c r="A36" s="103"/>
      <c r="B36" s="103"/>
      <c r="C36" s="24" t="s">
        <v>308</v>
      </c>
      <c r="D36" s="20">
        <f ca="1">D33+D35</f>
        <v>0</v>
      </c>
      <c r="E36" s="20">
        <f t="shared" ref="E36:X36" ca="1" si="16">E33+E35</f>
        <v>0</v>
      </c>
      <c r="F36" s="20">
        <f t="shared" ca="1" si="16"/>
        <v>0</v>
      </c>
      <c r="G36" s="20">
        <f t="shared" ca="1" si="16"/>
        <v>0</v>
      </c>
      <c r="H36" s="20">
        <f t="shared" ca="1" si="16"/>
        <v>0</v>
      </c>
      <c r="I36" s="20">
        <f t="shared" ca="1" si="16"/>
        <v>0</v>
      </c>
      <c r="J36" s="20">
        <f t="shared" ca="1" si="16"/>
        <v>0</v>
      </c>
      <c r="K36" s="20">
        <f t="shared" ca="1" si="16"/>
        <v>0</v>
      </c>
      <c r="L36" s="20">
        <f t="shared" ca="1" si="16"/>
        <v>0</v>
      </c>
      <c r="M36" s="20">
        <f t="shared" ca="1" si="16"/>
        <v>0</v>
      </c>
      <c r="N36" s="20">
        <f t="shared" ca="1" si="16"/>
        <v>0</v>
      </c>
      <c r="O36" s="20">
        <f t="shared" ca="1" si="16"/>
        <v>0</v>
      </c>
      <c r="P36" s="20">
        <f t="shared" ca="1" si="16"/>
        <v>0</v>
      </c>
      <c r="Q36" s="20">
        <f t="shared" ca="1" si="16"/>
        <v>0</v>
      </c>
      <c r="R36" s="20">
        <f t="shared" ca="1" si="16"/>
        <v>0</v>
      </c>
      <c r="S36" s="20">
        <f t="shared" ca="1" si="16"/>
        <v>0</v>
      </c>
      <c r="T36" s="20">
        <f t="shared" ca="1" si="16"/>
        <v>0</v>
      </c>
      <c r="U36" s="20">
        <f t="shared" ca="1" si="16"/>
        <v>0</v>
      </c>
      <c r="V36" s="20">
        <f t="shared" ca="1" si="16"/>
        <v>0</v>
      </c>
      <c r="W36" s="20">
        <f t="shared" ca="1" si="16"/>
        <v>0</v>
      </c>
      <c r="X36" s="20">
        <f t="shared" ca="1" si="16"/>
        <v>0</v>
      </c>
    </row>
    <row r="37" spans="1:24">
      <c r="A37" s="103"/>
      <c r="B37" s="103"/>
      <c r="C37" s="24" t="s">
        <v>309</v>
      </c>
      <c r="D37" s="27">
        <f ca="1">IF(D29+D36&gt;=D28,0,ROUNDDOWN(D28-D29-D36,-2))</f>
        <v>0</v>
      </c>
      <c r="E37" s="27">
        <f t="shared" ref="E37:X37" ca="1" si="17">IF(E29+E36&gt;=E28,0,ROUNDDOWN(E28-E29-E36,-2))</f>
        <v>0</v>
      </c>
      <c r="F37" s="27">
        <f t="shared" ca="1" si="17"/>
        <v>0</v>
      </c>
      <c r="G37" s="27">
        <f t="shared" ca="1" si="17"/>
        <v>0</v>
      </c>
      <c r="H37" s="27">
        <f t="shared" ca="1" si="17"/>
        <v>0</v>
      </c>
      <c r="I37" s="27">
        <f t="shared" ca="1" si="17"/>
        <v>0</v>
      </c>
      <c r="J37" s="27">
        <f t="shared" ca="1" si="17"/>
        <v>0</v>
      </c>
      <c r="K37" s="27">
        <f t="shared" ca="1" si="17"/>
        <v>0</v>
      </c>
      <c r="L37" s="27">
        <f t="shared" ca="1" si="17"/>
        <v>0</v>
      </c>
      <c r="M37" s="27">
        <f t="shared" ca="1" si="17"/>
        <v>0</v>
      </c>
      <c r="N37" s="27">
        <f t="shared" ca="1" si="17"/>
        <v>0</v>
      </c>
      <c r="O37" s="27">
        <f t="shared" ca="1" si="17"/>
        <v>0</v>
      </c>
      <c r="P37" s="27">
        <f t="shared" ca="1" si="17"/>
        <v>0</v>
      </c>
      <c r="Q37" s="27">
        <f t="shared" ca="1" si="17"/>
        <v>0</v>
      </c>
      <c r="R37" s="27">
        <f t="shared" ca="1" si="17"/>
        <v>0</v>
      </c>
      <c r="S37" s="27">
        <f t="shared" ca="1" si="17"/>
        <v>0</v>
      </c>
      <c r="T37" s="27">
        <f t="shared" ca="1" si="17"/>
        <v>0</v>
      </c>
      <c r="U37" s="27">
        <f t="shared" ca="1" si="17"/>
        <v>0</v>
      </c>
      <c r="V37" s="27">
        <f t="shared" ca="1" si="17"/>
        <v>0</v>
      </c>
      <c r="W37" s="27">
        <f t="shared" ca="1" si="17"/>
        <v>0</v>
      </c>
      <c r="X37" s="27">
        <f t="shared" ca="1" si="17"/>
        <v>0</v>
      </c>
    </row>
    <row r="38" spans="1:24">
      <c r="A38" s="103"/>
      <c r="B38" s="103"/>
      <c r="C38" s="24" t="s">
        <v>310</v>
      </c>
      <c r="D38" s="20">
        <f ca="1">申告計算!$O22</f>
        <v>0</v>
      </c>
      <c r="E38" s="20">
        <f ca="1">申告計算!$O22</f>
        <v>0</v>
      </c>
      <c r="F38" s="20">
        <f ca="1">申告計算!$O22</f>
        <v>0</v>
      </c>
      <c r="G38" s="20">
        <f ca="1">申告計算!$O22</f>
        <v>0</v>
      </c>
      <c r="H38" s="20">
        <f ca="1">申告計算!$O22</f>
        <v>0</v>
      </c>
      <c r="I38" s="20">
        <f ca="1">申告計算!$O22</f>
        <v>0</v>
      </c>
      <c r="J38" s="20">
        <f ca="1">申告計算!$O22</f>
        <v>0</v>
      </c>
      <c r="K38" s="20">
        <f ca="1">申告計算!$O22</f>
        <v>0</v>
      </c>
      <c r="L38" s="20">
        <f ca="1">申告計算!$O22</f>
        <v>0</v>
      </c>
      <c r="M38" s="20">
        <f ca="1">申告計算!$O22</f>
        <v>0</v>
      </c>
      <c r="N38" s="20">
        <f ca="1">申告計算!$O22</f>
        <v>0</v>
      </c>
      <c r="O38" s="20">
        <f ca="1">申告計算!$O22</f>
        <v>0</v>
      </c>
      <c r="P38" s="20">
        <f ca="1">申告計算!$O22</f>
        <v>0</v>
      </c>
      <c r="Q38" s="20">
        <f ca="1">申告計算!$O22</f>
        <v>0</v>
      </c>
      <c r="R38" s="20">
        <f ca="1">申告計算!$O22</f>
        <v>0</v>
      </c>
      <c r="S38" s="20">
        <f ca="1">申告計算!$O22</f>
        <v>0</v>
      </c>
      <c r="T38" s="20">
        <f ca="1">申告計算!$O22</f>
        <v>0</v>
      </c>
      <c r="U38" s="20">
        <f ca="1">申告計算!$O22</f>
        <v>0</v>
      </c>
      <c r="V38" s="20">
        <f ca="1">申告計算!$O22</f>
        <v>0</v>
      </c>
      <c r="W38" s="20">
        <f ca="1">申告計算!$O22</f>
        <v>0</v>
      </c>
      <c r="X38" s="20">
        <f ca="1">申告計算!$O22</f>
        <v>0</v>
      </c>
    </row>
    <row r="39" spans="1:24">
      <c r="A39" s="103"/>
      <c r="B39" s="103"/>
      <c r="C39" s="24" t="s">
        <v>311</v>
      </c>
      <c r="D39" s="20">
        <f ca="1">申告計算!$O25</f>
        <v>0</v>
      </c>
      <c r="E39" s="20">
        <f ca="1">申告計算!$O25</f>
        <v>0</v>
      </c>
      <c r="F39" s="20">
        <f ca="1">申告計算!$O25</f>
        <v>0</v>
      </c>
      <c r="G39" s="20">
        <f ca="1">申告計算!$O25</f>
        <v>0</v>
      </c>
      <c r="H39" s="20">
        <f ca="1">申告計算!$O25</f>
        <v>0</v>
      </c>
      <c r="I39" s="20">
        <f ca="1">申告計算!$O25</f>
        <v>0</v>
      </c>
      <c r="J39" s="20">
        <f ca="1">申告計算!$O25</f>
        <v>0</v>
      </c>
      <c r="K39" s="20">
        <f ca="1">申告計算!$O25</f>
        <v>0</v>
      </c>
      <c r="L39" s="20">
        <f ca="1">申告計算!$O25</f>
        <v>0</v>
      </c>
      <c r="M39" s="20">
        <f ca="1">申告計算!$O25</f>
        <v>0</v>
      </c>
      <c r="N39" s="20">
        <f ca="1">申告計算!$O25</f>
        <v>0</v>
      </c>
      <c r="O39" s="20">
        <f ca="1">申告計算!$O25</f>
        <v>0</v>
      </c>
      <c r="P39" s="20">
        <f ca="1">申告計算!$O25</f>
        <v>0</v>
      </c>
      <c r="Q39" s="20">
        <f ca="1">申告計算!$O25</f>
        <v>0</v>
      </c>
      <c r="R39" s="20">
        <f ca="1">申告計算!$O25</f>
        <v>0</v>
      </c>
      <c r="S39" s="20">
        <f ca="1">申告計算!$O25</f>
        <v>0</v>
      </c>
      <c r="T39" s="20">
        <f ca="1">申告計算!$O25</f>
        <v>0</v>
      </c>
      <c r="U39" s="20">
        <f ca="1">申告計算!$O25</f>
        <v>0</v>
      </c>
      <c r="V39" s="20">
        <f ca="1">申告計算!$O25</f>
        <v>0</v>
      </c>
      <c r="W39" s="20">
        <f ca="1">申告計算!$O25</f>
        <v>0</v>
      </c>
      <c r="X39" s="20">
        <f ca="1">申告計算!$O25</f>
        <v>0</v>
      </c>
    </row>
    <row r="40" spans="1:24">
      <c r="A40" s="103"/>
      <c r="B40" s="103"/>
      <c r="C40" s="45" t="s">
        <v>296</v>
      </c>
      <c r="D40" s="20">
        <f ca="1">SUM(D37:D39)</f>
        <v>0</v>
      </c>
      <c r="E40" s="20">
        <f t="shared" ref="E40:X40" ca="1" si="18">SUM(E37:E39)</f>
        <v>0</v>
      </c>
      <c r="F40" s="20">
        <f t="shared" ca="1" si="18"/>
        <v>0</v>
      </c>
      <c r="G40" s="20">
        <f t="shared" ca="1" si="18"/>
        <v>0</v>
      </c>
      <c r="H40" s="20">
        <f t="shared" ca="1" si="18"/>
        <v>0</v>
      </c>
      <c r="I40" s="20">
        <f t="shared" ca="1" si="18"/>
        <v>0</v>
      </c>
      <c r="J40" s="20">
        <f t="shared" ca="1" si="18"/>
        <v>0</v>
      </c>
      <c r="K40" s="20">
        <f t="shared" ca="1" si="18"/>
        <v>0</v>
      </c>
      <c r="L40" s="20">
        <f t="shared" ca="1" si="18"/>
        <v>0</v>
      </c>
      <c r="M40" s="20">
        <f t="shared" ca="1" si="18"/>
        <v>0</v>
      </c>
      <c r="N40" s="20">
        <f t="shared" ca="1" si="18"/>
        <v>0</v>
      </c>
      <c r="O40" s="20">
        <f t="shared" ca="1" si="18"/>
        <v>0</v>
      </c>
      <c r="P40" s="20">
        <f t="shared" ca="1" si="18"/>
        <v>0</v>
      </c>
      <c r="Q40" s="20">
        <f t="shared" ca="1" si="18"/>
        <v>0</v>
      </c>
      <c r="R40" s="20">
        <f t="shared" ca="1" si="18"/>
        <v>0</v>
      </c>
      <c r="S40" s="20">
        <f t="shared" ca="1" si="18"/>
        <v>0</v>
      </c>
      <c r="T40" s="20">
        <f t="shared" ca="1" si="18"/>
        <v>0</v>
      </c>
      <c r="U40" s="20">
        <f t="shared" ca="1" si="18"/>
        <v>0</v>
      </c>
      <c r="V40" s="20">
        <f t="shared" ca="1" si="18"/>
        <v>0</v>
      </c>
      <c r="W40" s="20">
        <f t="shared" ca="1" si="18"/>
        <v>0</v>
      </c>
      <c r="X40" s="20">
        <f t="shared" ca="1" si="18"/>
        <v>0</v>
      </c>
    </row>
    <row r="41" spans="1:24">
      <c r="A41" s="103"/>
      <c r="B41" s="103" t="s">
        <v>299</v>
      </c>
      <c r="C41" s="24" t="s">
        <v>298</v>
      </c>
      <c r="D41" s="20">
        <f ca="1">申告計算!$P11</f>
        <v>0</v>
      </c>
      <c r="E41" s="20">
        <f ca="1">申告計算!$P11</f>
        <v>0</v>
      </c>
      <c r="F41" s="20">
        <f ca="1">申告計算!$P11</f>
        <v>0</v>
      </c>
      <c r="G41" s="20">
        <f ca="1">申告計算!$P11</f>
        <v>0</v>
      </c>
      <c r="H41" s="20">
        <f ca="1">申告計算!$P11</f>
        <v>0</v>
      </c>
      <c r="I41" s="20">
        <f ca="1">申告計算!$P11</f>
        <v>0</v>
      </c>
      <c r="J41" s="20">
        <f ca="1">申告計算!$P11</f>
        <v>0</v>
      </c>
      <c r="K41" s="20">
        <f ca="1">申告計算!$P11</f>
        <v>0</v>
      </c>
      <c r="L41" s="20">
        <f ca="1">申告計算!$P11</f>
        <v>0</v>
      </c>
      <c r="M41" s="20">
        <f ca="1">申告計算!$P11</f>
        <v>0</v>
      </c>
      <c r="N41" s="20">
        <f ca="1">申告計算!$P11</f>
        <v>0</v>
      </c>
      <c r="O41" s="20">
        <f ca="1">申告計算!$P11</f>
        <v>0</v>
      </c>
      <c r="P41" s="20">
        <f ca="1">申告計算!$P11</f>
        <v>0</v>
      </c>
      <c r="Q41" s="20">
        <f ca="1">申告計算!$P11</f>
        <v>0</v>
      </c>
      <c r="R41" s="20">
        <f ca="1">申告計算!$P11</f>
        <v>0</v>
      </c>
      <c r="S41" s="20">
        <f ca="1">申告計算!$P11</f>
        <v>0</v>
      </c>
      <c r="T41" s="20">
        <f ca="1">申告計算!$P11</f>
        <v>0</v>
      </c>
      <c r="U41" s="20">
        <f ca="1">申告計算!$P11</f>
        <v>0</v>
      </c>
      <c r="V41" s="20">
        <f ca="1">申告計算!$P11</f>
        <v>0</v>
      </c>
      <c r="W41" s="20">
        <f ca="1">申告計算!$P11</f>
        <v>0</v>
      </c>
      <c r="X41" s="20">
        <f ca="1">申告計算!$P11</f>
        <v>0</v>
      </c>
    </row>
    <row r="42" spans="1:24">
      <c r="A42" s="103"/>
      <c r="B42" s="103"/>
      <c r="C42" s="24" t="s">
        <v>300</v>
      </c>
      <c r="D42" s="20">
        <f ca="1">申告計算!$P14</f>
        <v>0</v>
      </c>
      <c r="E42" s="20">
        <f ca="1">申告計算!$P14</f>
        <v>0</v>
      </c>
      <c r="F42" s="20">
        <f ca="1">申告計算!$P14</f>
        <v>0</v>
      </c>
      <c r="G42" s="20">
        <f ca="1">申告計算!$P14</f>
        <v>0</v>
      </c>
      <c r="H42" s="20">
        <f ca="1">申告計算!$P14</f>
        <v>0</v>
      </c>
      <c r="I42" s="20">
        <f ca="1">申告計算!$P14</f>
        <v>0</v>
      </c>
      <c r="J42" s="20">
        <f ca="1">申告計算!$P14</f>
        <v>0</v>
      </c>
      <c r="K42" s="20">
        <f ca="1">申告計算!$P14</f>
        <v>0</v>
      </c>
      <c r="L42" s="20">
        <f ca="1">申告計算!$P14</f>
        <v>0</v>
      </c>
      <c r="M42" s="20">
        <f ca="1">申告計算!$P14</f>
        <v>0</v>
      </c>
      <c r="N42" s="20">
        <f ca="1">申告計算!$P14</f>
        <v>0</v>
      </c>
      <c r="O42" s="20">
        <f ca="1">申告計算!$P14</f>
        <v>0</v>
      </c>
      <c r="P42" s="20">
        <f ca="1">申告計算!$P14</f>
        <v>0</v>
      </c>
      <c r="Q42" s="20">
        <f ca="1">申告計算!$P14</f>
        <v>0</v>
      </c>
      <c r="R42" s="20">
        <f ca="1">申告計算!$P14</f>
        <v>0</v>
      </c>
      <c r="S42" s="20">
        <f ca="1">申告計算!$P14</f>
        <v>0</v>
      </c>
      <c r="T42" s="20">
        <f ca="1">申告計算!$P14</f>
        <v>0</v>
      </c>
      <c r="U42" s="20">
        <f ca="1">申告計算!$P14</f>
        <v>0</v>
      </c>
      <c r="V42" s="20">
        <f ca="1">申告計算!$P14</f>
        <v>0</v>
      </c>
      <c r="W42" s="20">
        <f ca="1">申告計算!$P14</f>
        <v>0</v>
      </c>
      <c r="X42" s="20">
        <f ca="1">申告計算!$P14</f>
        <v>0</v>
      </c>
    </row>
    <row r="43" spans="1:24">
      <c r="A43" s="103"/>
      <c r="B43" s="103"/>
      <c r="C43" s="18" t="s">
        <v>283</v>
      </c>
      <c r="D43" s="20">
        <f>申告計算!$P15</f>
        <v>0</v>
      </c>
      <c r="E43" s="20">
        <f>申告計算!$P15</f>
        <v>0</v>
      </c>
      <c r="F43" s="20">
        <f>申告計算!$P15</f>
        <v>0</v>
      </c>
      <c r="G43" s="20">
        <f>申告計算!$P15</f>
        <v>0</v>
      </c>
      <c r="H43" s="20">
        <f>申告計算!$P15</f>
        <v>0</v>
      </c>
      <c r="I43" s="20">
        <f>申告計算!$P15</f>
        <v>0</v>
      </c>
      <c r="J43" s="20">
        <f>申告計算!$P15</f>
        <v>0</v>
      </c>
      <c r="K43" s="20">
        <f>申告計算!$P15</f>
        <v>0</v>
      </c>
      <c r="L43" s="20">
        <f>申告計算!$P15</f>
        <v>0</v>
      </c>
      <c r="M43" s="20">
        <f>申告計算!$P15</f>
        <v>0</v>
      </c>
      <c r="N43" s="20">
        <f>申告計算!$P15</f>
        <v>0</v>
      </c>
      <c r="O43" s="20">
        <f>申告計算!$P15</f>
        <v>0</v>
      </c>
      <c r="P43" s="20">
        <f>申告計算!$P15</f>
        <v>0</v>
      </c>
      <c r="Q43" s="20">
        <f>申告計算!$P15</f>
        <v>0</v>
      </c>
      <c r="R43" s="20">
        <f>申告計算!$P15</f>
        <v>0</v>
      </c>
      <c r="S43" s="20">
        <f>申告計算!$P15</f>
        <v>0</v>
      </c>
      <c r="T43" s="20">
        <f>申告計算!$P15</f>
        <v>0</v>
      </c>
      <c r="U43" s="20">
        <f>申告計算!$P15</f>
        <v>0</v>
      </c>
      <c r="V43" s="20">
        <f>申告計算!$P15</f>
        <v>0</v>
      </c>
      <c r="W43" s="20">
        <f>申告計算!$P15</f>
        <v>0</v>
      </c>
      <c r="X43" s="20">
        <f>申告計算!$P15</f>
        <v>0</v>
      </c>
    </row>
    <row r="44" spans="1:24">
      <c r="A44" s="103"/>
      <c r="B44" s="103"/>
      <c r="C44" s="24" t="s">
        <v>286</v>
      </c>
      <c r="D44" s="20">
        <f t="shared" ref="D44:X44" si="19">D1+D43</f>
        <v>0</v>
      </c>
      <c r="E44" s="20">
        <f t="shared" ca="1" si="19"/>
        <v>1000</v>
      </c>
      <c r="F44" s="20">
        <f t="shared" ca="1" si="19"/>
        <v>2000</v>
      </c>
      <c r="G44" s="20">
        <f t="shared" ca="1" si="19"/>
        <v>3000</v>
      </c>
      <c r="H44" s="20">
        <f t="shared" ca="1" si="19"/>
        <v>4000</v>
      </c>
      <c r="I44" s="20">
        <f t="shared" ca="1" si="19"/>
        <v>5000</v>
      </c>
      <c r="J44" s="20">
        <f t="shared" ca="1" si="19"/>
        <v>6000</v>
      </c>
      <c r="K44" s="20">
        <f t="shared" ca="1" si="19"/>
        <v>7000</v>
      </c>
      <c r="L44" s="20">
        <f t="shared" ca="1" si="19"/>
        <v>8000</v>
      </c>
      <c r="M44" s="20">
        <f t="shared" ca="1" si="19"/>
        <v>9000</v>
      </c>
      <c r="N44" s="20">
        <f t="shared" ca="1" si="19"/>
        <v>10000</v>
      </c>
      <c r="O44" s="20">
        <f t="shared" ca="1" si="19"/>
        <v>11000</v>
      </c>
      <c r="P44" s="20">
        <f t="shared" ca="1" si="19"/>
        <v>12000</v>
      </c>
      <c r="Q44" s="20">
        <f t="shared" ca="1" si="19"/>
        <v>13000</v>
      </c>
      <c r="R44" s="20">
        <f t="shared" ca="1" si="19"/>
        <v>14000</v>
      </c>
      <c r="S44" s="20">
        <f t="shared" ca="1" si="19"/>
        <v>15000</v>
      </c>
      <c r="T44" s="20">
        <f t="shared" ca="1" si="19"/>
        <v>16000</v>
      </c>
      <c r="U44" s="20">
        <f t="shared" ca="1" si="19"/>
        <v>17000</v>
      </c>
      <c r="V44" s="20">
        <f t="shared" ca="1" si="19"/>
        <v>18000</v>
      </c>
      <c r="W44" s="20">
        <f t="shared" ca="1" si="19"/>
        <v>19000</v>
      </c>
      <c r="X44" s="20">
        <f t="shared" ca="1" si="19"/>
        <v>20000</v>
      </c>
    </row>
    <row r="45" spans="1:24">
      <c r="A45" s="103"/>
      <c r="B45" s="103"/>
      <c r="C45" s="46" t="s">
        <v>304</v>
      </c>
      <c r="D45" s="20">
        <f ca="1">D32</f>
        <v>0</v>
      </c>
      <c r="E45" s="20">
        <f ca="1">E32</f>
        <v>0</v>
      </c>
      <c r="F45" s="20">
        <f t="shared" ref="F45:X45" ca="1" si="20">F32</f>
        <v>0</v>
      </c>
      <c r="G45" s="20">
        <f t="shared" ca="1" si="20"/>
        <v>0</v>
      </c>
      <c r="H45" s="20">
        <f t="shared" ca="1" si="20"/>
        <v>0</v>
      </c>
      <c r="I45" s="20">
        <f t="shared" ca="1" si="20"/>
        <v>0</v>
      </c>
      <c r="J45" s="20">
        <f t="shared" ca="1" si="20"/>
        <v>0</v>
      </c>
      <c r="K45" s="20">
        <f t="shared" ca="1" si="20"/>
        <v>0</v>
      </c>
      <c r="L45" s="20">
        <f t="shared" ca="1" si="20"/>
        <v>0</v>
      </c>
      <c r="M45" s="20">
        <f t="shared" ca="1" si="20"/>
        <v>0</v>
      </c>
      <c r="N45" s="20">
        <f t="shared" ca="1" si="20"/>
        <v>0</v>
      </c>
      <c r="O45" s="20">
        <f t="shared" ca="1" si="20"/>
        <v>0</v>
      </c>
      <c r="P45" s="20">
        <f t="shared" ca="1" si="20"/>
        <v>0</v>
      </c>
      <c r="Q45" s="20">
        <f t="shared" ca="1" si="20"/>
        <v>0</v>
      </c>
      <c r="R45" s="20">
        <f t="shared" ca="1" si="20"/>
        <v>0</v>
      </c>
      <c r="S45" s="20">
        <f t="shared" ca="1" si="20"/>
        <v>0</v>
      </c>
      <c r="T45" s="20">
        <f t="shared" ca="1" si="20"/>
        <v>0</v>
      </c>
      <c r="U45" s="20">
        <f t="shared" ca="1" si="20"/>
        <v>0</v>
      </c>
      <c r="V45" s="20">
        <f t="shared" ca="1" si="20"/>
        <v>0</v>
      </c>
      <c r="W45" s="20">
        <f t="shared" ca="1" si="20"/>
        <v>0</v>
      </c>
      <c r="X45" s="20">
        <f t="shared" ca="1" si="20"/>
        <v>0</v>
      </c>
    </row>
    <row r="46" spans="1:24">
      <c r="A46" s="103"/>
      <c r="B46" s="103"/>
      <c r="C46" s="24" t="s">
        <v>305</v>
      </c>
      <c r="D46" s="20">
        <f ca="1">MAX(ROUNDUP((MIN(D45,D44)-2000)*D24,0),0)</f>
        <v>0</v>
      </c>
      <c r="E46" s="20">
        <f ca="1">MAX(ROUNDUP((MIN(E45,E44)-2000)*E24,0),0)</f>
        <v>0</v>
      </c>
      <c r="F46" s="20">
        <f t="shared" ref="F46:X46" ca="1" si="21">MAX(ROUNDUP((MIN(F45,F44)-2000)*F24,0),0)</f>
        <v>0</v>
      </c>
      <c r="G46" s="20">
        <f t="shared" ca="1" si="21"/>
        <v>0</v>
      </c>
      <c r="H46" s="20">
        <f t="shared" ca="1" si="21"/>
        <v>0</v>
      </c>
      <c r="I46" s="20">
        <f t="shared" ca="1" si="21"/>
        <v>0</v>
      </c>
      <c r="J46" s="20">
        <f t="shared" ca="1" si="21"/>
        <v>0</v>
      </c>
      <c r="K46" s="20">
        <f t="shared" ca="1" si="21"/>
        <v>0</v>
      </c>
      <c r="L46" s="20">
        <f t="shared" ca="1" si="21"/>
        <v>0</v>
      </c>
      <c r="M46" s="20">
        <f t="shared" ca="1" si="21"/>
        <v>0</v>
      </c>
      <c r="N46" s="20">
        <f t="shared" ca="1" si="21"/>
        <v>0</v>
      </c>
      <c r="O46" s="20">
        <f t="shared" ca="1" si="21"/>
        <v>0</v>
      </c>
      <c r="P46" s="20">
        <f t="shared" ca="1" si="21"/>
        <v>0</v>
      </c>
      <c r="Q46" s="20">
        <f t="shared" ca="1" si="21"/>
        <v>0</v>
      </c>
      <c r="R46" s="20">
        <f t="shared" ca="1" si="21"/>
        <v>0</v>
      </c>
      <c r="S46" s="20">
        <f t="shared" ca="1" si="21"/>
        <v>0</v>
      </c>
      <c r="T46" s="20">
        <f t="shared" ca="1" si="21"/>
        <v>0</v>
      </c>
      <c r="U46" s="20">
        <f t="shared" ca="1" si="21"/>
        <v>0</v>
      </c>
      <c r="V46" s="20">
        <f t="shared" ca="1" si="21"/>
        <v>0</v>
      </c>
      <c r="W46" s="20">
        <f t="shared" ca="1" si="21"/>
        <v>0</v>
      </c>
      <c r="X46" s="20">
        <f t="shared" ca="1" si="21"/>
        <v>0</v>
      </c>
    </row>
    <row r="47" spans="1:24">
      <c r="A47" s="103"/>
      <c r="B47" s="103"/>
      <c r="C47" s="24" t="s">
        <v>306</v>
      </c>
      <c r="D47" s="27">
        <f ca="1">ROUNDUP(D$41*0.2,0)</f>
        <v>0</v>
      </c>
      <c r="E47" s="27">
        <f t="shared" ref="E47:X47" ca="1" si="22">ROUNDUP(E$41*0.2,0)</f>
        <v>0</v>
      </c>
      <c r="F47" s="27">
        <f t="shared" ca="1" si="22"/>
        <v>0</v>
      </c>
      <c r="G47" s="27">
        <f t="shared" ca="1" si="22"/>
        <v>0</v>
      </c>
      <c r="H47" s="27">
        <f t="shared" ca="1" si="22"/>
        <v>0</v>
      </c>
      <c r="I47" s="27">
        <f t="shared" ca="1" si="22"/>
        <v>0</v>
      </c>
      <c r="J47" s="27">
        <f t="shared" ca="1" si="22"/>
        <v>0</v>
      </c>
      <c r="K47" s="27">
        <f t="shared" ca="1" si="22"/>
        <v>0</v>
      </c>
      <c r="L47" s="27">
        <f t="shared" ca="1" si="22"/>
        <v>0</v>
      </c>
      <c r="M47" s="27">
        <f t="shared" ca="1" si="22"/>
        <v>0</v>
      </c>
      <c r="N47" s="27">
        <f t="shared" ca="1" si="22"/>
        <v>0</v>
      </c>
      <c r="O47" s="27">
        <f t="shared" ca="1" si="22"/>
        <v>0</v>
      </c>
      <c r="P47" s="27">
        <f t="shared" ca="1" si="22"/>
        <v>0</v>
      </c>
      <c r="Q47" s="27">
        <f t="shared" ca="1" si="22"/>
        <v>0</v>
      </c>
      <c r="R47" s="27">
        <f t="shared" ca="1" si="22"/>
        <v>0</v>
      </c>
      <c r="S47" s="27">
        <f t="shared" ca="1" si="22"/>
        <v>0</v>
      </c>
      <c r="T47" s="27">
        <f t="shared" ca="1" si="22"/>
        <v>0</v>
      </c>
      <c r="U47" s="27">
        <f t="shared" ca="1" si="22"/>
        <v>0</v>
      </c>
      <c r="V47" s="27">
        <f t="shared" ca="1" si="22"/>
        <v>0</v>
      </c>
      <c r="W47" s="27">
        <f t="shared" ca="1" si="22"/>
        <v>0</v>
      </c>
      <c r="X47" s="27">
        <f t="shared" ca="1" si="22"/>
        <v>0</v>
      </c>
    </row>
    <row r="48" spans="1:24">
      <c r="A48" s="103"/>
      <c r="B48" s="103"/>
      <c r="C48" s="24" t="s">
        <v>307</v>
      </c>
      <c r="D48" s="20">
        <f t="shared" ref="D48:X48" ca="1" si="23">MAX(MIN(ROUNDUP(((D$1-2000)*(0.9-D12*(1+D18)))*D24/(D23+D24),0),D47),0)</f>
        <v>0</v>
      </c>
      <c r="E48" s="20">
        <f t="shared" ca="1" si="23"/>
        <v>0</v>
      </c>
      <c r="F48" s="20">
        <f t="shared" ca="1" si="23"/>
        <v>0</v>
      </c>
      <c r="G48" s="20">
        <f t="shared" ca="1" si="23"/>
        <v>0</v>
      </c>
      <c r="H48" s="20">
        <f t="shared" ca="1" si="23"/>
        <v>0</v>
      </c>
      <c r="I48" s="20">
        <f t="shared" ca="1" si="23"/>
        <v>0</v>
      </c>
      <c r="J48" s="20">
        <f t="shared" ca="1" si="23"/>
        <v>0</v>
      </c>
      <c r="K48" s="20">
        <f t="shared" ca="1" si="23"/>
        <v>0</v>
      </c>
      <c r="L48" s="20">
        <f t="shared" ca="1" si="23"/>
        <v>0</v>
      </c>
      <c r="M48" s="20">
        <f t="shared" ca="1" si="23"/>
        <v>0</v>
      </c>
      <c r="N48" s="20">
        <f t="shared" ca="1" si="23"/>
        <v>0</v>
      </c>
      <c r="O48" s="20">
        <f t="shared" ca="1" si="23"/>
        <v>0</v>
      </c>
      <c r="P48" s="20">
        <f t="shared" ca="1" si="23"/>
        <v>0</v>
      </c>
      <c r="Q48" s="20">
        <f t="shared" ca="1" si="23"/>
        <v>0</v>
      </c>
      <c r="R48" s="20">
        <f t="shared" ca="1" si="23"/>
        <v>0</v>
      </c>
      <c r="S48" s="20">
        <f t="shared" ca="1" si="23"/>
        <v>0</v>
      </c>
      <c r="T48" s="20">
        <f t="shared" ca="1" si="23"/>
        <v>0</v>
      </c>
      <c r="U48" s="20">
        <f t="shared" ca="1" si="23"/>
        <v>0</v>
      </c>
      <c r="V48" s="20">
        <f t="shared" ca="1" si="23"/>
        <v>0</v>
      </c>
      <c r="W48" s="20">
        <f t="shared" ca="1" si="23"/>
        <v>0</v>
      </c>
      <c r="X48" s="20">
        <f t="shared" ca="1" si="23"/>
        <v>0</v>
      </c>
    </row>
    <row r="49" spans="1:24">
      <c r="A49" s="103"/>
      <c r="B49" s="103"/>
      <c r="C49" s="24" t="s">
        <v>308</v>
      </c>
      <c r="D49" s="20">
        <f ca="1">D46+D48</f>
        <v>0</v>
      </c>
      <c r="E49" s="20">
        <f t="shared" ref="E49:X49" ca="1" si="24">E46+E48</f>
        <v>0</v>
      </c>
      <c r="F49" s="20">
        <f t="shared" ca="1" si="24"/>
        <v>0</v>
      </c>
      <c r="G49" s="20">
        <f t="shared" ca="1" si="24"/>
        <v>0</v>
      </c>
      <c r="H49" s="20">
        <f t="shared" ca="1" si="24"/>
        <v>0</v>
      </c>
      <c r="I49" s="20">
        <f t="shared" ca="1" si="24"/>
        <v>0</v>
      </c>
      <c r="J49" s="20">
        <f t="shared" ca="1" si="24"/>
        <v>0</v>
      </c>
      <c r="K49" s="20">
        <f t="shared" ca="1" si="24"/>
        <v>0</v>
      </c>
      <c r="L49" s="20">
        <f t="shared" ca="1" si="24"/>
        <v>0</v>
      </c>
      <c r="M49" s="20">
        <f t="shared" ca="1" si="24"/>
        <v>0</v>
      </c>
      <c r="N49" s="20">
        <f t="shared" ca="1" si="24"/>
        <v>0</v>
      </c>
      <c r="O49" s="20">
        <f t="shared" ca="1" si="24"/>
        <v>0</v>
      </c>
      <c r="P49" s="20">
        <f t="shared" ca="1" si="24"/>
        <v>0</v>
      </c>
      <c r="Q49" s="20">
        <f t="shared" ca="1" si="24"/>
        <v>0</v>
      </c>
      <c r="R49" s="20">
        <f t="shared" ca="1" si="24"/>
        <v>0</v>
      </c>
      <c r="S49" s="20">
        <f t="shared" ca="1" si="24"/>
        <v>0</v>
      </c>
      <c r="T49" s="20">
        <f t="shared" ca="1" si="24"/>
        <v>0</v>
      </c>
      <c r="U49" s="20">
        <f t="shared" ca="1" si="24"/>
        <v>0</v>
      </c>
      <c r="V49" s="20">
        <f t="shared" ca="1" si="24"/>
        <v>0</v>
      </c>
      <c r="W49" s="20">
        <f t="shared" ca="1" si="24"/>
        <v>0</v>
      </c>
      <c r="X49" s="20">
        <f t="shared" ca="1" si="24"/>
        <v>0</v>
      </c>
    </row>
    <row r="50" spans="1:24">
      <c r="A50" s="103"/>
      <c r="B50" s="103"/>
      <c r="C50" s="24" t="s">
        <v>309</v>
      </c>
      <c r="D50" s="27">
        <f ca="1">IF(D42+D49&gt;=D41,0,ROUNDDOWN(D41-D42-D49,-2))</f>
        <v>0</v>
      </c>
      <c r="E50" s="27">
        <f t="shared" ref="E50:X50" ca="1" si="25">IF(E42+E49&gt;=E41,0,ROUNDDOWN(E41-E42-E49,-2))</f>
        <v>0</v>
      </c>
      <c r="F50" s="27">
        <f t="shared" ca="1" si="25"/>
        <v>0</v>
      </c>
      <c r="G50" s="27">
        <f t="shared" ca="1" si="25"/>
        <v>0</v>
      </c>
      <c r="H50" s="27">
        <f t="shared" ca="1" si="25"/>
        <v>0</v>
      </c>
      <c r="I50" s="27">
        <f t="shared" ca="1" si="25"/>
        <v>0</v>
      </c>
      <c r="J50" s="27">
        <f t="shared" ca="1" si="25"/>
        <v>0</v>
      </c>
      <c r="K50" s="27">
        <f t="shared" ca="1" si="25"/>
        <v>0</v>
      </c>
      <c r="L50" s="27">
        <f t="shared" ca="1" si="25"/>
        <v>0</v>
      </c>
      <c r="M50" s="27">
        <f t="shared" ca="1" si="25"/>
        <v>0</v>
      </c>
      <c r="N50" s="27">
        <f t="shared" ca="1" si="25"/>
        <v>0</v>
      </c>
      <c r="O50" s="27">
        <f t="shared" ca="1" si="25"/>
        <v>0</v>
      </c>
      <c r="P50" s="27">
        <f t="shared" ca="1" si="25"/>
        <v>0</v>
      </c>
      <c r="Q50" s="27">
        <f t="shared" ca="1" si="25"/>
        <v>0</v>
      </c>
      <c r="R50" s="27">
        <f t="shared" ca="1" si="25"/>
        <v>0</v>
      </c>
      <c r="S50" s="27">
        <f t="shared" ca="1" si="25"/>
        <v>0</v>
      </c>
      <c r="T50" s="27">
        <f t="shared" ca="1" si="25"/>
        <v>0</v>
      </c>
      <c r="U50" s="27">
        <f t="shared" ca="1" si="25"/>
        <v>0</v>
      </c>
      <c r="V50" s="27">
        <f t="shared" ca="1" si="25"/>
        <v>0</v>
      </c>
      <c r="W50" s="27">
        <f t="shared" ca="1" si="25"/>
        <v>0</v>
      </c>
      <c r="X50" s="27">
        <f t="shared" ca="1" si="25"/>
        <v>0</v>
      </c>
    </row>
    <row r="51" spans="1:24">
      <c r="A51" s="103"/>
      <c r="B51" s="103"/>
      <c r="C51" s="24" t="s">
        <v>310</v>
      </c>
      <c r="D51" s="20">
        <f ca="1">申告計算!$P22</f>
        <v>0</v>
      </c>
      <c r="E51" s="20">
        <f ca="1">申告計算!$P22</f>
        <v>0</v>
      </c>
      <c r="F51" s="20">
        <f ca="1">申告計算!$P22</f>
        <v>0</v>
      </c>
      <c r="G51" s="20">
        <f ca="1">申告計算!$P22</f>
        <v>0</v>
      </c>
      <c r="H51" s="20">
        <f ca="1">申告計算!$P22</f>
        <v>0</v>
      </c>
      <c r="I51" s="20">
        <f ca="1">申告計算!$P22</f>
        <v>0</v>
      </c>
      <c r="J51" s="20">
        <f ca="1">申告計算!$P22</f>
        <v>0</v>
      </c>
      <c r="K51" s="20">
        <f ca="1">申告計算!$P22</f>
        <v>0</v>
      </c>
      <c r="L51" s="20">
        <f ca="1">申告計算!$P22</f>
        <v>0</v>
      </c>
      <c r="M51" s="20">
        <f ca="1">申告計算!$P22</f>
        <v>0</v>
      </c>
      <c r="N51" s="20">
        <f ca="1">申告計算!$P22</f>
        <v>0</v>
      </c>
      <c r="O51" s="20">
        <f ca="1">申告計算!$P22</f>
        <v>0</v>
      </c>
      <c r="P51" s="20">
        <f ca="1">申告計算!$P22</f>
        <v>0</v>
      </c>
      <c r="Q51" s="20">
        <f ca="1">申告計算!$P22</f>
        <v>0</v>
      </c>
      <c r="R51" s="20">
        <f ca="1">申告計算!$P22</f>
        <v>0</v>
      </c>
      <c r="S51" s="20">
        <f ca="1">申告計算!$P22</f>
        <v>0</v>
      </c>
      <c r="T51" s="20">
        <f ca="1">申告計算!$P22</f>
        <v>0</v>
      </c>
      <c r="U51" s="20">
        <f ca="1">申告計算!$P22</f>
        <v>0</v>
      </c>
      <c r="V51" s="20">
        <f ca="1">申告計算!$P22</f>
        <v>0</v>
      </c>
      <c r="W51" s="20">
        <f ca="1">申告計算!$P22</f>
        <v>0</v>
      </c>
      <c r="X51" s="20">
        <f ca="1">申告計算!$P22</f>
        <v>0</v>
      </c>
    </row>
    <row r="52" spans="1:24">
      <c r="A52" s="103"/>
      <c r="B52" s="103"/>
      <c r="C52" s="24" t="s">
        <v>311</v>
      </c>
      <c r="D52" s="20">
        <f ca="1">申告計算!$P25</f>
        <v>0</v>
      </c>
      <c r="E52" s="20">
        <f ca="1">申告計算!$P25</f>
        <v>0</v>
      </c>
      <c r="F52" s="20">
        <f ca="1">申告計算!$P25</f>
        <v>0</v>
      </c>
      <c r="G52" s="20">
        <f ca="1">申告計算!$P25</f>
        <v>0</v>
      </c>
      <c r="H52" s="20">
        <f ca="1">申告計算!$P25</f>
        <v>0</v>
      </c>
      <c r="I52" s="20">
        <f ca="1">申告計算!$P25</f>
        <v>0</v>
      </c>
      <c r="J52" s="20">
        <f ca="1">申告計算!$P25</f>
        <v>0</v>
      </c>
      <c r="K52" s="20">
        <f ca="1">申告計算!$P25</f>
        <v>0</v>
      </c>
      <c r="L52" s="20">
        <f ca="1">申告計算!$P25</f>
        <v>0</v>
      </c>
      <c r="M52" s="20">
        <f ca="1">申告計算!$P25</f>
        <v>0</v>
      </c>
      <c r="N52" s="20">
        <f ca="1">申告計算!$P25</f>
        <v>0</v>
      </c>
      <c r="O52" s="20">
        <f ca="1">申告計算!$P25</f>
        <v>0</v>
      </c>
      <c r="P52" s="20">
        <f ca="1">申告計算!$P25</f>
        <v>0</v>
      </c>
      <c r="Q52" s="20">
        <f ca="1">申告計算!$P25</f>
        <v>0</v>
      </c>
      <c r="R52" s="20">
        <f ca="1">申告計算!$P25</f>
        <v>0</v>
      </c>
      <c r="S52" s="20">
        <f ca="1">申告計算!$P25</f>
        <v>0</v>
      </c>
      <c r="T52" s="20">
        <f ca="1">申告計算!$P25</f>
        <v>0</v>
      </c>
      <c r="U52" s="20">
        <f ca="1">申告計算!$P25</f>
        <v>0</v>
      </c>
      <c r="V52" s="20">
        <f ca="1">申告計算!$P25</f>
        <v>0</v>
      </c>
      <c r="W52" s="20">
        <f ca="1">申告計算!$P25</f>
        <v>0</v>
      </c>
      <c r="X52" s="20">
        <f ca="1">申告計算!$P25</f>
        <v>0</v>
      </c>
    </row>
    <row r="53" spans="1:24">
      <c r="A53" s="103"/>
      <c r="B53" s="103"/>
      <c r="C53" s="24" t="s">
        <v>296</v>
      </c>
      <c r="D53" s="20">
        <f ca="1">SUM(D50:D52)</f>
        <v>0</v>
      </c>
      <c r="E53" s="20">
        <f t="shared" ref="E53:X53" ca="1" si="26">SUM(E50:E52)</f>
        <v>0</v>
      </c>
      <c r="F53" s="20">
        <f t="shared" ca="1" si="26"/>
        <v>0</v>
      </c>
      <c r="G53" s="20">
        <f t="shared" ca="1" si="26"/>
        <v>0</v>
      </c>
      <c r="H53" s="20">
        <f t="shared" ca="1" si="26"/>
        <v>0</v>
      </c>
      <c r="I53" s="20">
        <f t="shared" ca="1" si="26"/>
        <v>0</v>
      </c>
      <c r="J53" s="20">
        <f t="shared" ca="1" si="26"/>
        <v>0</v>
      </c>
      <c r="K53" s="20">
        <f t="shared" ca="1" si="26"/>
        <v>0</v>
      </c>
      <c r="L53" s="20">
        <f t="shared" ca="1" si="26"/>
        <v>0</v>
      </c>
      <c r="M53" s="20">
        <f t="shared" ca="1" si="26"/>
        <v>0</v>
      </c>
      <c r="N53" s="20">
        <f t="shared" ca="1" si="26"/>
        <v>0</v>
      </c>
      <c r="O53" s="20">
        <f t="shared" ca="1" si="26"/>
        <v>0</v>
      </c>
      <c r="P53" s="20">
        <f t="shared" ca="1" si="26"/>
        <v>0</v>
      </c>
      <c r="Q53" s="20">
        <f t="shared" ca="1" si="26"/>
        <v>0</v>
      </c>
      <c r="R53" s="20">
        <f t="shared" ca="1" si="26"/>
        <v>0</v>
      </c>
      <c r="S53" s="20">
        <f t="shared" ca="1" si="26"/>
        <v>0</v>
      </c>
      <c r="T53" s="20">
        <f t="shared" ca="1" si="26"/>
        <v>0</v>
      </c>
      <c r="U53" s="20">
        <f t="shared" ca="1" si="26"/>
        <v>0</v>
      </c>
      <c r="V53" s="20">
        <f t="shared" ca="1" si="26"/>
        <v>0</v>
      </c>
      <c r="W53" s="20">
        <f t="shared" ca="1" si="26"/>
        <v>0</v>
      </c>
      <c r="X53" s="20">
        <f t="shared" ca="1" si="26"/>
        <v>0</v>
      </c>
    </row>
    <row r="54" spans="1:24">
      <c r="A54" s="103"/>
      <c r="B54" s="103" t="s">
        <v>313</v>
      </c>
      <c r="C54" s="24" t="s">
        <v>312</v>
      </c>
      <c r="D54" s="20">
        <f ca="1">D40+D53</f>
        <v>0</v>
      </c>
      <c r="E54" s="20">
        <f t="shared" ref="E54:X54" ca="1" si="27">E40+E53</f>
        <v>0</v>
      </c>
      <c r="F54" s="20">
        <f t="shared" ca="1" si="27"/>
        <v>0</v>
      </c>
      <c r="G54" s="20">
        <f t="shared" ca="1" si="27"/>
        <v>0</v>
      </c>
      <c r="H54" s="20">
        <f t="shared" ca="1" si="27"/>
        <v>0</v>
      </c>
      <c r="I54" s="20">
        <f t="shared" ca="1" si="27"/>
        <v>0</v>
      </c>
      <c r="J54" s="20">
        <f t="shared" ca="1" si="27"/>
        <v>0</v>
      </c>
      <c r="K54" s="20">
        <f t="shared" ca="1" si="27"/>
        <v>0</v>
      </c>
      <c r="L54" s="20">
        <f t="shared" ca="1" si="27"/>
        <v>0</v>
      </c>
      <c r="M54" s="20">
        <f t="shared" ca="1" si="27"/>
        <v>0</v>
      </c>
      <c r="N54" s="20">
        <f t="shared" ca="1" si="27"/>
        <v>0</v>
      </c>
      <c r="O54" s="20">
        <f t="shared" ca="1" si="27"/>
        <v>0</v>
      </c>
      <c r="P54" s="20">
        <f t="shared" ca="1" si="27"/>
        <v>0</v>
      </c>
      <c r="Q54" s="20">
        <f t="shared" ca="1" si="27"/>
        <v>0</v>
      </c>
      <c r="R54" s="20">
        <f t="shared" ca="1" si="27"/>
        <v>0</v>
      </c>
      <c r="S54" s="20">
        <f t="shared" ca="1" si="27"/>
        <v>0</v>
      </c>
      <c r="T54" s="20">
        <f t="shared" ca="1" si="27"/>
        <v>0</v>
      </c>
      <c r="U54" s="20">
        <f t="shared" ca="1" si="27"/>
        <v>0</v>
      </c>
      <c r="V54" s="20">
        <f t="shared" ca="1" si="27"/>
        <v>0</v>
      </c>
      <c r="W54" s="20">
        <f t="shared" ca="1" si="27"/>
        <v>0</v>
      </c>
      <c r="X54" s="20">
        <f t="shared" ca="1" si="27"/>
        <v>0</v>
      </c>
    </row>
    <row r="55" spans="1:24">
      <c r="A55" s="103"/>
      <c r="B55" s="103"/>
      <c r="C55" s="24" t="s">
        <v>314</v>
      </c>
      <c r="D55" s="20">
        <f ca="1">D27-D54</f>
        <v>0</v>
      </c>
      <c r="E55" s="20">
        <f t="shared" ref="E55:X55" ca="1" si="28">E27-E54</f>
        <v>0</v>
      </c>
      <c r="F55" s="20">
        <f t="shared" ca="1" si="28"/>
        <v>0</v>
      </c>
      <c r="G55" s="20">
        <f t="shared" ca="1" si="28"/>
        <v>0</v>
      </c>
      <c r="H55" s="20">
        <f t="shared" ca="1" si="28"/>
        <v>0</v>
      </c>
      <c r="I55" s="20">
        <f t="shared" ca="1" si="28"/>
        <v>0</v>
      </c>
      <c r="J55" s="20">
        <f t="shared" ca="1" si="28"/>
        <v>0</v>
      </c>
      <c r="K55" s="20">
        <f t="shared" ca="1" si="28"/>
        <v>0</v>
      </c>
      <c r="L55" s="20">
        <f t="shared" ca="1" si="28"/>
        <v>0</v>
      </c>
      <c r="M55" s="20">
        <f t="shared" ca="1" si="28"/>
        <v>0</v>
      </c>
      <c r="N55" s="20">
        <f t="shared" ca="1" si="28"/>
        <v>0</v>
      </c>
      <c r="O55" s="20">
        <f t="shared" ca="1" si="28"/>
        <v>0</v>
      </c>
      <c r="P55" s="20">
        <f t="shared" ca="1" si="28"/>
        <v>0</v>
      </c>
      <c r="Q55" s="20">
        <f t="shared" ca="1" si="28"/>
        <v>0</v>
      </c>
      <c r="R55" s="20">
        <f t="shared" ca="1" si="28"/>
        <v>0</v>
      </c>
      <c r="S55" s="20">
        <f t="shared" ca="1" si="28"/>
        <v>0</v>
      </c>
      <c r="T55" s="20">
        <f t="shared" ca="1" si="28"/>
        <v>0</v>
      </c>
      <c r="U55" s="20">
        <f t="shared" ca="1" si="28"/>
        <v>0</v>
      </c>
      <c r="V55" s="20">
        <f t="shared" ca="1" si="28"/>
        <v>0</v>
      </c>
      <c r="W55" s="20">
        <f t="shared" ca="1" si="28"/>
        <v>0</v>
      </c>
      <c r="X55" s="20">
        <f t="shared" ca="1" si="28"/>
        <v>0</v>
      </c>
    </row>
    <row r="56" spans="1:24">
      <c r="A56" s="103" t="s">
        <v>315</v>
      </c>
      <c r="B56" s="103" t="s">
        <v>294</v>
      </c>
      <c r="C56" s="10" t="s">
        <v>298</v>
      </c>
      <c r="D56" s="20">
        <f ca="1">D28</f>
        <v>0</v>
      </c>
      <c r="E56" s="20">
        <f t="shared" ref="E56:X57" ca="1" si="29">E28</f>
        <v>0</v>
      </c>
      <c r="F56" s="20">
        <f t="shared" ca="1" si="29"/>
        <v>0</v>
      </c>
      <c r="G56" s="20">
        <f t="shared" ca="1" si="29"/>
        <v>0</v>
      </c>
      <c r="H56" s="20">
        <f t="shared" ca="1" si="29"/>
        <v>0</v>
      </c>
      <c r="I56" s="20">
        <f t="shared" ca="1" si="29"/>
        <v>0</v>
      </c>
      <c r="J56" s="20">
        <f t="shared" ca="1" si="29"/>
        <v>0</v>
      </c>
      <c r="K56" s="20">
        <f t="shared" ca="1" si="29"/>
        <v>0</v>
      </c>
      <c r="L56" s="20">
        <f t="shared" ca="1" si="29"/>
        <v>0</v>
      </c>
      <c r="M56" s="20">
        <f t="shared" ca="1" si="29"/>
        <v>0</v>
      </c>
      <c r="N56" s="20">
        <f t="shared" ca="1" si="29"/>
        <v>0</v>
      </c>
      <c r="O56" s="20">
        <f t="shared" ca="1" si="29"/>
        <v>0</v>
      </c>
      <c r="P56" s="20">
        <f t="shared" ca="1" si="29"/>
        <v>0</v>
      </c>
      <c r="Q56" s="20">
        <f t="shared" ca="1" si="29"/>
        <v>0</v>
      </c>
      <c r="R56" s="20">
        <f t="shared" ca="1" si="29"/>
        <v>0</v>
      </c>
      <c r="S56" s="20">
        <f t="shared" ca="1" si="29"/>
        <v>0</v>
      </c>
      <c r="T56" s="20">
        <f t="shared" ca="1" si="29"/>
        <v>0</v>
      </c>
      <c r="U56" s="20">
        <f t="shared" ca="1" si="29"/>
        <v>0</v>
      </c>
      <c r="V56" s="20">
        <f t="shared" ca="1" si="29"/>
        <v>0</v>
      </c>
      <c r="W56" s="20">
        <f t="shared" ca="1" si="29"/>
        <v>0</v>
      </c>
      <c r="X56" s="20">
        <f t="shared" ca="1" si="29"/>
        <v>0</v>
      </c>
    </row>
    <row r="57" spans="1:24">
      <c r="A57" s="103"/>
      <c r="B57" s="103"/>
      <c r="C57" s="10" t="s">
        <v>300</v>
      </c>
      <c r="D57" s="20">
        <f t="shared" ref="D57:S57" ca="1" si="30">D29</f>
        <v>0</v>
      </c>
      <c r="E57" s="20">
        <f t="shared" ca="1" si="30"/>
        <v>0</v>
      </c>
      <c r="F57" s="20">
        <f t="shared" ca="1" si="30"/>
        <v>0</v>
      </c>
      <c r="G57" s="20">
        <f t="shared" ca="1" si="30"/>
        <v>0</v>
      </c>
      <c r="H57" s="20">
        <f t="shared" ca="1" si="30"/>
        <v>0</v>
      </c>
      <c r="I57" s="20">
        <f t="shared" ca="1" si="30"/>
        <v>0</v>
      </c>
      <c r="J57" s="20">
        <f t="shared" ca="1" si="30"/>
        <v>0</v>
      </c>
      <c r="K57" s="20">
        <f t="shared" ca="1" si="30"/>
        <v>0</v>
      </c>
      <c r="L57" s="20">
        <f t="shared" ca="1" si="30"/>
        <v>0</v>
      </c>
      <c r="M57" s="20">
        <f t="shared" ca="1" si="30"/>
        <v>0</v>
      </c>
      <c r="N57" s="20">
        <f t="shared" ca="1" si="30"/>
        <v>0</v>
      </c>
      <c r="O57" s="20">
        <f t="shared" ca="1" si="30"/>
        <v>0</v>
      </c>
      <c r="P57" s="20">
        <f t="shared" ca="1" si="30"/>
        <v>0</v>
      </c>
      <c r="Q57" s="20">
        <f t="shared" ca="1" si="30"/>
        <v>0</v>
      </c>
      <c r="R57" s="20">
        <f t="shared" ca="1" si="30"/>
        <v>0</v>
      </c>
      <c r="S57" s="20">
        <f t="shared" ca="1" si="30"/>
        <v>0</v>
      </c>
      <c r="T57" s="20">
        <f t="shared" ca="1" si="29"/>
        <v>0</v>
      </c>
      <c r="U57" s="20">
        <f t="shared" ca="1" si="29"/>
        <v>0</v>
      </c>
      <c r="V57" s="20">
        <f t="shared" ca="1" si="29"/>
        <v>0</v>
      </c>
      <c r="W57" s="20">
        <f t="shared" ca="1" si="29"/>
        <v>0</v>
      </c>
      <c r="X57" s="20">
        <f t="shared" ca="1" si="29"/>
        <v>0</v>
      </c>
    </row>
    <row r="58" spans="1:24">
      <c r="A58" s="103"/>
      <c r="B58" s="103"/>
      <c r="C58" s="10" t="s">
        <v>283</v>
      </c>
      <c r="D58" s="20">
        <f>D30</f>
        <v>0</v>
      </c>
      <c r="E58" s="20">
        <f t="shared" ref="E58:X58" si="31">E30</f>
        <v>0</v>
      </c>
      <c r="F58" s="20">
        <f t="shared" si="31"/>
        <v>0</v>
      </c>
      <c r="G58" s="20">
        <f t="shared" si="31"/>
        <v>0</v>
      </c>
      <c r="H58" s="20">
        <f t="shared" si="31"/>
        <v>0</v>
      </c>
      <c r="I58" s="20">
        <f t="shared" si="31"/>
        <v>0</v>
      </c>
      <c r="J58" s="20">
        <f t="shared" si="31"/>
        <v>0</v>
      </c>
      <c r="K58" s="20">
        <f t="shared" si="31"/>
        <v>0</v>
      </c>
      <c r="L58" s="20">
        <f t="shared" si="31"/>
        <v>0</v>
      </c>
      <c r="M58" s="20">
        <f t="shared" si="31"/>
        <v>0</v>
      </c>
      <c r="N58" s="20">
        <f t="shared" si="31"/>
        <v>0</v>
      </c>
      <c r="O58" s="20">
        <f t="shared" si="31"/>
        <v>0</v>
      </c>
      <c r="P58" s="20">
        <f t="shared" si="31"/>
        <v>0</v>
      </c>
      <c r="Q58" s="20">
        <f t="shared" si="31"/>
        <v>0</v>
      </c>
      <c r="R58" s="20">
        <f t="shared" si="31"/>
        <v>0</v>
      </c>
      <c r="S58" s="20">
        <f t="shared" si="31"/>
        <v>0</v>
      </c>
      <c r="T58" s="20">
        <f t="shared" si="31"/>
        <v>0</v>
      </c>
      <c r="U58" s="20">
        <f t="shared" si="31"/>
        <v>0</v>
      </c>
      <c r="V58" s="20">
        <f t="shared" si="31"/>
        <v>0</v>
      </c>
      <c r="W58" s="20">
        <f t="shared" si="31"/>
        <v>0</v>
      </c>
      <c r="X58" s="20">
        <f t="shared" si="31"/>
        <v>0</v>
      </c>
    </row>
    <row r="59" spans="1:24">
      <c r="A59" s="103"/>
      <c r="B59" s="103"/>
      <c r="C59" s="10" t="s">
        <v>286</v>
      </c>
      <c r="D59" s="20">
        <f t="shared" ref="D59:X59" si="32">D1+D58</f>
        <v>0</v>
      </c>
      <c r="E59" s="20">
        <f t="shared" ca="1" si="32"/>
        <v>1000</v>
      </c>
      <c r="F59" s="20">
        <f t="shared" ca="1" si="32"/>
        <v>2000</v>
      </c>
      <c r="G59" s="20">
        <f t="shared" ca="1" si="32"/>
        <v>3000</v>
      </c>
      <c r="H59" s="20">
        <f t="shared" ca="1" si="32"/>
        <v>4000</v>
      </c>
      <c r="I59" s="20">
        <f t="shared" ca="1" si="32"/>
        <v>5000</v>
      </c>
      <c r="J59" s="20">
        <f t="shared" ca="1" si="32"/>
        <v>6000</v>
      </c>
      <c r="K59" s="20">
        <f t="shared" ca="1" si="32"/>
        <v>7000</v>
      </c>
      <c r="L59" s="20">
        <f t="shared" ca="1" si="32"/>
        <v>8000</v>
      </c>
      <c r="M59" s="20">
        <f t="shared" ca="1" si="32"/>
        <v>9000</v>
      </c>
      <c r="N59" s="20">
        <f t="shared" ca="1" si="32"/>
        <v>10000</v>
      </c>
      <c r="O59" s="20">
        <f t="shared" ca="1" si="32"/>
        <v>11000</v>
      </c>
      <c r="P59" s="20">
        <f t="shared" ca="1" si="32"/>
        <v>12000</v>
      </c>
      <c r="Q59" s="20">
        <f t="shared" ca="1" si="32"/>
        <v>13000</v>
      </c>
      <c r="R59" s="20">
        <f t="shared" ca="1" si="32"/>
        <v>14000</v>
      </c>
      <c r="S59" s="20">
        <f t="shared" ca="1" si="32"/>
        <v>15000</v>
      </c>
      <c r="T59" s="20">
        <f t="shared" ca="1" si="32"/>
        <v>16000</v>
      </c>
      <c r="U59" s="20">
        <f t="shared" ca="1" si="32"/>
        <v>17000</v>
      </c>
      <c r="V59" s="20">
        <f t="shared" ca="1" si="32"/>
        <v>18000</v>
      </c>
      <c r="W59" s="20">
        <f t="shared" ca="1" si="32"/>
        <v>19000</v>
      </c>
      <c r="X59" s="20">
        <f t="shared" ca="1" si="32"/>
        <v>20000</v>
      </c>
    </row>
    <row r="60" spans="1:24">
      <c r="A60" s="103"/>
      <c r="B60" s="103"/>
      <c r="C60" s="10" t="s">
        <v>304</v>
      </c>
      <c r="D60" s="20">
        <f ca="1">D32</f>
        <v>0</v>
      </c>
      <c r="E60" s="20">
        <f t="shared" ref="E60:X60" ca="1" si="33">E32</f>
        <v>0</v>
      </c>
      <c r="F60" s="20">
        <f t="shared" ca="1" si="33"/>
        <v>0</v>
      </c>
      <c r="G60" s="20">
        <f t="shared" ca="1" si="33"/>
        <v>0</v>
      </c>
      <c r="H60" s="20">
        <f t="shared" ca="1" si="33"/>
        <v>0</v>
      </c>
      <c r="I60" s="20">
        <f t="shared" ca="1" si="33"/>
        <v>0</v>
      </c>
      <c r="J60" s="20">
        <f t="shared" ca="1" si="33"/>
        <v>0</v>
      </c>
      <c r="K60" s="20">
        <f t="shared" ca="1" si="33"/>
        <v>0</v>
      </c>
      <c r="L60" s="20">
        <f t="shared" ca="1" si="33"/>
        <v>0</v>
      </c>
      <c r="M60" s="20">
        <f t="shared" ca="1" si="33"/>
        <v>0</v>
      </c>
      <c r="N60" s="20">
        <f t="shared" ca="1" si="33"/>
        <v>0</v>
      </c>
      <c r="O60" s="20">
        <f t="shared" ca="1" si="33"/>
        <v>0</v>
      </c>
      <c r="P60" s="20">
        <f t="shared" ca="1" si="33"/>
        <v>0</v>
      </c>
      <c r="Q60" s="20">
        <f t="shared" ca="1" si="33"/>
        <v>0</v>
      </c>
      <c r="R60" s="20">
        <f t="shared" ca="1" si="33"/>
        <v>0</v>
      </c>
      <c r="S60" s="20">
        <f t="shared" ca="1" si="33"/>
        <v>0</v>
      </c>
      <c r="T60" s="20">
        <f t="shared" ca="1" si="33"/>
        <v>0</v>
      </c>
      <c r="U60" s="20">
        <f t="shared" ca="1" si="33"/>
        <v>0</v>
      </c>
      <c r="V60" s="20">
        <f t="shared" ca="1" si="33"/>
        <v>0</v>
      </c>
      <c r="W60" s="20">
        <f t="shared" ca="1" si="33"/>
        <v>0</v>
      </c>
      <c r="X60" s="20">
        <f t="shared" ca="1" si="33"/>
        <v>0</v>
      </c>
    </row>
    <row r="61" spans="1:24">
      <c r="A61" s="103"/>
      <c r="B61" s="103"/>
      <c r="C61" s="10" t="s">
        <v>305</v>
      </c>
      <c r="D61" s="20">
        <f ca="1">MAX(ROUNDUP((MIN(D60,D59)-2000)*D23,0),0)</f>
        <v>0</v>
      </c>
      <c r="E61" s="20">
        <f t="shared" ref="E61:X61" ca="1" si="34">MAX(ROUNDUP((MIN(E60,E59)-2000)*E23,0),0)</f>
        <v>0</v>
      </c>
      <c r="F61" s="20">
        <f t="shared" ca="1" si="34"/>
        <v>0</v>
      </c>
      <c r="G61" s="20">
        <f t="shared" ca="1" si="34"/>
        <v>0</v>
      </c>
      <c r="H61" s="20">
        <f t="shared" ca="1" si="34"/>
        <v>0</v>
      </c>
      <c r="I61" s="20">
        <f t="shared" ca="1" si="34"/>
        <v>0</v>
      </c>
      <c r="J61" s="20">
        <f t="shared" ca="1" si="34"/>
        <v>0</v>
      </c>
      <c r="K61" s="20">
        <f t="shared" ca="1" si="34"/>
        <v>0</v>
      </c>
      <c r="L61" s="20">
        <f t="shared" ca="1" si="34"/>
        <v>0</v>
      </c>
      <c r="M61" s="20">
        <f t="shared" ca="1" si="34"/>
        <v>0</v>
      </c>
      <c r="N61" s="20">
        <f t="shared" ca="1" si="34"/>
        <v>0</v>
      </c>
      <c r="O61" s="20">
        <f t="shared" ca="1" si="34"/>
        <v>0</v>
      </c>
      <c r="P61" s="20">
        <f t="shared" ca="1" si="34"/>
        <v>0</v>
      </c>
      <c r="Q61" s="20">
        <f t="shared" ca="1" si="34"/>
        <v>0</v>
      </c>
      <c r="R61" s="20">
        <f t="shared" ca="1" si="34"/>
        <v>0</v>
      </c>
      <c r="S61" s="20">
        <f t="shared" ca="1" si="34"/>
        <v>0</v>
      </c>
      <c r="T61" s="20">
        <f t="shared" ca="1" si="34"/>
        <v>0</v>
      </c>
      <c r="U61" s="20">
        <f t="shared" ca="1" si="34"/>
        <v>0</v>
      </c>
      <c r="V61" s="20">
        <f t="shared" ca="1" si="34"/>
        <v>0</v>
      </c>
      <c r="W61" s="20">
        <f t="shared" ca="1" si="34"/>
        <v>0</v>
      </c>
      <c r="X61" s="20">
        <f t="shared" ca="1" si="34"/>
        <v>0</v>
      </c>
    </row>
    <row r="62" spans="1:24">
      <c r="A62" s="103"/>
      <c r="B62" s="103"/>
      <c r="C62" s="10" t="s">
        <v>306</v>
      </c>
      <c r="D62" s="27">
        <f ca="1">ROUNDUP(D$56*0.2,0)</f>
        <v>0</v>
      </c>
      <c r="E62" s="27">
        <f t="shared" ref="E62:X62" ca="1" si="35">ROUNDUP(E$56*0.2,0)</f>
        <v>0</v>
      </c>
      <c r="F62" s="27">
        <f t="shared" ca="1" si="35"/>
        <v>0</v>
      </c>
      <c r="G62" s="27">
        <f t="shared" ca="1" si="35"/>
        <v>0</v>
      </c>
      <c r="H62" s="27">
        <f t="shared" ca="1" si="35"/>
        <v>0</v>
      </c>
      <c r="I62" s="27">
        <f t="shared" ca="1" si="35"/>
        <v>0</v>
      </c>
      <c r="J62" s="27">
        <f t="shared" ca="1" si="35"/>
        <v>0</v>
      </c>
      <c r="K62" s="27">
        <f t="shared" ca="1" si="35"/>
        <v>0</v>
      </c>
      <c r="L62" s="27">
        <f t="shared" ca="1" si="35"/>
        <v>0</v>
      </c>
      <c r="M62" s="27">
        <f t="shared" ca="1" si="35"/>
        <v>0</v>
      </c>
      <c r="N62" s="27">
        <f t="shared" ca="1" si="35"/>
        <v>0</v>
      </c>
      <c r="O62" s="27">
        <f t="shared" ca="1" si="35"/>
        <v>0</v>
      </c>
      <c r="P62" s="27">
        <f t="shared" ca="1" si="35"/>
        <v>0</v>
      </c>
      <c r="Q62" s="27">
        <f t="shared" ca="1" si="35"/>
        <v>0</v>
      </c>
      <c r="R62" s="27">
        <f t="shared" ca="1" si="35"/>
        <v>0</v>
      </c>
      <c r="S62" s="27">
        <f t="shared" ca="1" si="35"/>
        <v>0</v>
      </c>
      <c r="T62" s="27">
        <f t="shared" ca="1" si="35"/>
        <v>0</v>
      </c>
      <c r="U62" s="27">
        <f t="shared" ca="1" si="35"/>
        <v>0</v>
      </c>
      <c r="V62" s="27">
        <f t="shared" ca="1" si="35"/>
        <v>0</v>
      </c>
      <c r="W62" s="27">
        <f t="shared" ca="1" si="35"/>
        <v>0</v>
      </c>
      <c r="X62" s="27">
        <f t="shared" ca="1" si="35"/>
        <v>0</v>
      </c>
    </row>
    <row r="63" spans="1:24">
      <c r="A63" s="103"/>
      <c r="B63" s="103"/>
      <c r="C63" s="10" t="s">
        <v>307</v>
      </c>
      <c r="D63" s="20">
        <f ca="1">MAX(MIN(ROUNDUP(((D$1-2000)*(0.9-$D12*(1+$D18)))*$D23/($D23+$D24),0),D62),0)</f>
        <v>0</v>
      </c>
      <c r="E63" s="20">
        <f t="shared" ref="E63:G63" ca="1" si="36">MAX(MIN(ROUNDUP(((E$1-2000)*(0.9-$D12*(1+$D18)))*$D23/($D23+$D24),0),E62),0)</f>
        <v>0</v>
      </c>
      <c r="F63" s="20">
        <f t="shared" ca="1" si="36"/>
        <v>0</v>
      </c>
      <c r="G63" s="20">
        <f t="shared" ca="1" si="36"/>
        <v>0</v>
      </c>
      <c r="H63" s="20">
        <f t="shared" ref="H63" ca="1" si="37">MAX(MIN(ROUNDUP(((H$1-2000)*(0.9-$D12*(1+$D18)))*$D23/($D23+$D24),0),H62),0)</f>
        <v>0</v>
      </c>
      <c r="I63" s="20">
        <f t="shared" ref="I63:J63" ca="1" si="38">MAX(MIN(ROUNDUP(((I$1-2000)*(0.9-$D12*(1+$D18)))*$D23/($D23+$D24),0),I62),0)</f>
        <v>0</v>
      </c>
      <c r="J63" s="20">
        <f t="shared" ca="1" si="38"/>
        <v>0</v>
      </c>
      <c r="K63" s="20">
        <f t="shared" ref="K63" ca="1" si="39">MAX(MIN(ROUNDUP(((K$1-2000)*(0.9-$D12*(1+$D18)))*$D23/($D23+$D24),0),K62),0)</f>
        <v>0</v>
      </c>
      <c r="L63" s="20">
        <f t="shared" ref="L63:M63" ca="1" si="40">MAX(MIN(ROUNDUP(((L$1-2000)*(0.9-$D12*(1+$D18)))*$D23/($D23+$D24),0),L62),0)</f>
        <v>0</v>
      </c>
      <c r="M63" s="20">
        <f t="shared" ca="1" si="40"/>
        <v>0</v>
      </c>
      <c r="N63" s="20">
        <f t="shared" ref="N63" ca="1" si="41">MAX(MIN(ROUNDUP(((N$1-2000)*(0.9-$D12*(1+$D18)))*$D23/($D23+$D24),0),N62),0)</f>
        <v>0</v>
      </c>
      <c r="O63" s="20">
        <f t="shared" ref="O63:P63" ca="1" si="42">MAX(MIN(ROUNDUP(((O$1-2000)*(0.9-$D12*(1+$D18)))*$D23/($D23+$D24),0),O62),0)</f>
        <v>0</v>
      </c>
      <c r="P63" s="20">
        <f t="shared" ca="1" si="42"/>
        <v>0</v>
      </c>
      <c r="Q63" s="20">
        <f t="shared" ref="Q63" ca="1" si="43">MAX(MIN(ROUNDUP(((Q$1-2000)*(0.9-$D12*(1+$D18)))*$D23/($D23+$D24),0),Q62),0)</f>
        <v>0</v>
      </c>
      <c r="R63" s="20">
        <f t="shared" ref="R63:S63" ca="1" si="44">MAX(MIN(ROUNDUP(((R$1-2000)*(0.9-$D12*(1+$D18)))*$D23/($D23+$D24),0),R62),0)</f>
        <v>0</v>
      </c>
      <c r="S63" s="20">
        <f t="shared" ca="1" si="44"/>
        <v>0</v>
      </c>
      <c r="T63" s="20">
        <f t="shared" ref="T63" ca="1" si="45">MAX(MIN(ROUNDUP(((T$1-2000)*(0.9-$D12*(1+$D18)))*$D23/($D23+$D24),0),T62),0)</f>
        <v>0</v>
      </c>
      <c r="U63" s="20">
        <f t="shared" ref="U63:V63" ca="1" si="46">MAX(MIN(ROUNDUP(((U$1-2000)*(0.9-$D12*(1+$D18)))*$D23/($D23+$D24),0),U62),0)</f>
        <v>0</v>
      </c>
      <c r="V63" s="20">
        <f t="shared" ca="1" si="46"/>
        <v>0</v>
      </c>
      <c r="W63" s="20">
        <f t="shared" ref="W63" ca="1" si="47">MAX(MIN(ROUNDUP(((W$1-2000)*(0.9-$D12*(1+$D18)))*$D23/($D23+$D24),0),W62),0)</f>
        <v>0</v>
      </c>
      <c r="X63" s="20">
        <f t="shared" ref="X63" ca="1" si="48">MAX(MIN(ROUNDUP(((X$1-2000)*(0.9-$D12*(1+$D18)))*$D23/($D23+$D24),0),X62),0)</f>
        <v>0</v>
      </c>
    </row>
    <row r="64" spans="1:24">
      <c r="A64" s="103"/>
      <c r="B64" s="103"/>
      <c r="C64" s="10" t="s">
        <v>316</v>
      </c>
      <c r="D64" s="27">
        <f ca="1">ROUNDUP($D13*D63,0)</f>
        <v>0</v>
      </c>
      <c r="E64" s="27">
        <f t="shared" ref="E64:G64" ca="1" si="49">ROUNDUP($D13*E63,0)</f>
        <v>0</v>
      </c>
      <c r="F64" s="27">
        <f t="shared" ca="1" si="49"/>
        <v>0</v>
      </c>
      <c r="G64" s="27">
        <f t="shared" ca="1" si="49"/>
        <v>0</v>
      </c>
      <c r="H64" s="27">
        <f t="shared" ref="H64" ca="1" si="50">ROUNDUP($D13*H63,0)</f>
        <v>0</v>
      </c>
      <c r="I64" s="27">
        <f t="shared" ref="I64:J64" ca="1" si="51">ROUNDUP($D13*I63,0)</f>
        <v>0</v>
      </c>
      <c r="J64" s="27">
        <f t="shared" ca="1" si="51"/>
        <v>0</v>
      </c>
      <c r="K64" s="27">
        <f t="shared" ref="K64" ca="1" si="52">ROUNDUP($D13*K63,0)</f>
        <v>0</v>
      </c>
      <c r="L64" s="27">
        <f t="shared" ref="L64:M64" ca="1" si="53">ROUNDUP($D13*L63,0)</f>
        <v>0</v>
      </c>
      <c r="M64" s="27">
        <f t="shared" ca="1" si="53"/>
        <v>0</v>
      </c>
      <c r="N64" s="27">
        <f t="shared" ref="N64" ca="1" si="54">ROUNDUP($D13*N63,0)</f>
        <v>0</v>
      </c>
      <c r="O64" s="27">
        <f t="shared" ref="O64:P64" ca="1" si="55">ROUNDUP($D13*O63,0)</f>
        <v>0</v>
      </c>
      <c r="P64" s="27">
        <f t="shared" ca="1" si="55"/>
        <v>0</v>
      </c>
      <c r="Q64" s="27">
        <f t="shared" ref="Q64" ca="1" si="56">ROUNDUP($D13*Q63,0)</f>
        <v>0</v>
      </c>
      <c r="R64" s="27">
        <f t="shared" ref="R64:S64" ca="1" si="57">ROUNDUP($D13*R63,0)</f>
        <v>0</v>
      </c>
      <c r="S64" s="27">
        <f t="shared" ca="1" si="57"/>
        <v>0</v>
      </c>
      <c r="T64" s="27">
        <f t="shared" ref="T64" ca="1" si="58">ROUNDUP($D13*T63,0)</f>
        <v>0</v>
      </c>
      <c r="U64" s="27">
        <f t="shared" ref="U64:V64" ca="1" si="59">ROUNDUP($D13*U63,0)</f>
        <v>0</v>
      </c>
      <c r="V64" s="27">
        <f t="shared" ca="1" si="59"/>
        <v>0</v>
      </c>
      <c r="W64" s="27">
        <f t="shared" ref="W64" ca="1" si="60">ROUNDUP($D13*W63,0)</f>
        <v>0</v>
      </c>
      <c r="X64" s="27">
        <f t="shared" ref="X64" ca="1" si="61">ROUNDUP($D13*X63,0)</f>
        <v>0</v>
      </c>
    </row>
    <row r="65" spans="1:24">
      <c r="A65" s="103"/>
      <c r="B65" s="103"/>
      <c r="C65" s="10" t="s">
        <v>308</v>
      </c>
      <c r="D65" s="20">
        <f ca="1">D61+D63+D64</f>
        <v>0</v>
      </c>
      <c r="E65" s="20">
        <f t="shared" ref="E65:X65" ca="1" si="62">E61+E63+E64</f>
        <v>0</v>
      </c>
      <c r="F65" s="20">
        <f t="shared" ca="1" si="62"/>
        <v>0</v>
      </c>
      <c r="G65" s="20">
        <f t="shared" ca="1" si="62"/>
        <v>0</v>
      </c>
      <c r="H65" s="20">
        <f t="shared" ca="1" si="62"/>
        <v>0</v>
      </c>
      <c r="I65" s="20">
        <f t="shared" ca="1" si="62"/>
        <v>0</v>
      </c>
      <c r="J65" s="20">
        <f t="shared" ca="1" si="62"/>
        <v>0</v>
      </c>
      <c r="K65" s="20">
        <f t="shared" ca="1" si="62"/>
        <v>0</v>
      </c>
      <c r="L65" s="20">
        <f t="shared" ca="1" si="62"/>
        <v>0</v>
      </c>
      <c r="M65" s="20">
        <f t="shared" ca="1" si="62"/>
        <v>0</v>
      </c>
      <c r="N65" s="20">
        <f t="shared" ca="1" si="62"/>
        <v>0</v>
      </c>
      <c r="O65" s="20">
        <f t="shared" ca="1" si="62"/>
        <v>0</v>
      </c>
      <c r="P65" s="20">
        <f t="shared" ca="1" si="62"/>
        <v>0</v>
      </c>
      <c r="Q65" s="20">
        <f t="shared" ca="1" si="62"/>
        <v>0</v>
      </c>
      <c r="R65" s="20">
        <f t="shared" ca="1" si="62"/>
        <v>0</v>
      </c>
      <c r="S65" s="20">
        <f t="shared" ca="1" si="62"/>
        <v>0</v>
      </c>
      <c r="T65" s="20">
        <f t="shared" ca="1" si="62"/>
        <v>0</v>
      </c>
      <c r="U65" s="20">
        <f t="shared" ca="1" si="62"/>
        <v>0</v>
      </c>
      <c r="V65" s="20">
        <f t="shared" ca="1" si="62"/>
        <v>0</v>
      </c>
      <c r="W65" s="20">
        <f t="shared" ca="1" si="62"/>
        <v>0</v>
      </c>
      <c r="X65" s="20">
        <f t="shared" ca="1" si="62"/>
        <v>0</v>
      </c>
    </row>
    <row r="66" spans="1:24">
      <c r="A66" s="103"/>
      <c r="B66" s="103"/>
      <c r="C66" s="10" t="s">
        <v>309</v>
      </c>
      <c r="D66" s="27">
        <f ca="1">IF(D57+D65&gt;=D56,0,ROUNDDOWN(D56-D57-D65,-2))</f>
        <v>0</v>
      </c>
      <c r="E66" s="27">
        <f t="shared" ref="E66:X66" ca="1" si="63">IF(E57+E65&gt;=E56,0,ROUNDDOWN(E56-E57-E65,-2))</f>
        <v>0</v>
      </c>
      <c r="F66" s="27">
        <f t="shared" ca="1" si="63"/>
        <v>0</v>
      </c>
      <c r="G66" s="27">
        <f t="shared" ca="1" si="63"/>
        <v>0</v>
      </c>
      <c r="H66" s="27">
        <f t="shared" ca="1" si="63"/>
        <v>0</v>
      </c>
      <c r="I66" s="27">
        <f t="shared" ca="1" si="63"/>
        <v>0</v>
      </c>
      <c r="J66" s="27">
        <f t="shared" ca="1" si="63"/>
        <v>0</v>
      </c>
      <c r="K66" s="27">
        <f t="shared" ca="1" si="63"/>
        <v>0</v>
      </c>
      <c r="L66" s="27">
        <f t="shared" ca="1" si="63"/>
        <v>0</v>
      </c>
      <c r="M66" s="27">
        <f t="shared" ca="1" si="63"/>
        <v>0</v>
      </c>
      <c r="N66" s="27">
        <f t="shared" ca="1" si="63"/>
        <v>0</v>
      </c>
      <c r="O66" s="27">
        <f t="shared" ca="1" si="63"/>
        <v>0</v>
      </c>
      <c r="P66" s="27">
        <f t="shared" ca="1" si="63"/>
        <v>0</v>
      </c>
      <c r="Q66" s="27">
        <f t="shared" ca="1" si="63"/>
        <v>0</v>
      </c>
      <c r="R66" s="27">
        <f t="shared" ca="1" si="63"/>
        <v>0</v>
      </c>
      <c r="S66" s="27">
        <f t="shared" ca="1" si="63"/>
        <v>0</v>
      </c>
      <c r="T66" s="27">
        <f t="shared" ca="1" si="63"/>
        <v>0</v>
      </c>
      <c r="U66" s="27">
        <f t="shared" ca="1" si="63"/>
        <v>0</v>
      </c>
      <c r="V66" s="27">
        <f t="shared" ca="1" si="63"/>
        <v>0</v>
      </c>
      <c r="W66" s="27">
        <f t="shared" ca="1" si="63"/>
        <v>0</v>
      </c>
      <c r="X66" s="27">
        <f t="shared" ca="1" si="63"/>
        <v>0</v>
      </c>
    </row>
    <row r="67" spans="1:24">
      <c r="A67" s="103"/>
      <c r="B67" s="103"/>
      <c r="C67" s="10" t="s">
        <v>310</v>
      </c>
      <c r="D67" s="27">
        <f ca="1">D38</f>
        <v>0</v>
      </c>
      <c r="E67" s="27">
        <f t="shared" ref="E67:X67" ca="1" si="64">E38</f>
        <v>0</v>
      </c>
      <c r="F67" s="27">
        <f t="shared" ca="1" si="64"/>
        <v>0</v>
      </c>
      <c r="G67" s="27">
        <f t="shared" ca="1" si="64"/>
        <v>0</v>
      </c>
      <c r="H67" s="27">
        <f t="shared" ca="1" si="64"/>
        <v>0</v>
      </c>
      <c r="I67" s="27">
        <f t="shared" ca="1" si="64"/>
        <v>0</v>
      </c>
      <c r="J67" s="27">
        <f t="shared" ca="1" si="64"/>
        <v>0</v>
      </c>
      <c r="K67" s="27">
        <f t="shared" ca="1" si="64"/>
        <v>0</v>
      </c>
      <c r="L67" s="27">
        <f t="shared" ca="1" si="64"/>
        <v>0</v>
      </c>
      <c r="M67" s="27">
        <f t="shared" ca="1" si="64"/>
        <v>0</v>
      </c>
      <c r="N67" s="27">
        <f t="shared" ca="1" si="64"/>
        <v>0</v>
      </c>
      <c r="O67" s="27">
        <f t="shared" ca="1" si="64"/>
        <v>0</v>
      </c>
      <c r="P67" s="27">
        <f t="shared" ca="1" si="64"/>
        <v>0</v>
      </c>
      <c r="Q67" s="27">
        <f t="shared" ca="1" si="64"/>
        <v>0</v>
      </c>
      <c r="R67" s="27">
        <f t="shared" ca="1" si="64"/>
        <v>0</v>
      </c>
      <c r="S67" s="27">
        <f t="shared" ca="1" si="64"/>
        <v>0</v>
      </c>
      <c r="T67" s="27">
        <f t="shared" ca="1" si="64"/>
        <v>0</v>
      </c>
      <c r="U67" s="27">
        <f t="shared" ca="1" si="64"/>
        <v>0</v>
      </c>
      <c r="V67" s="27">
        <f t="shared" ca="1" si="64"/>
        <v>0</v>
      </c>
      <c r="W67" s="27">
        <f t="shared" ca="1" si="64"/>
        <v>0</v>
      </c>
      <c r="X67" s="27">
        <f t="shared" ca="1" si="64"/>
        <v>0</v>
      </c>
    </row>
    <row r="68" spans="1:24">
      <c r="A68" s="103"/>
      <c r="B68" s="103"/>
      <c r="C68" s="10" t="s">
        <v>311</v>
      </c>
      <c r="D68" s="27">
        <f ca="1">D39</f>
        <v>0</v>
      </c>
      <c r="E68" s="27">
        <f t="shared" ref="E68:X68" ca="1" si="65">E39</f>
        <v>0</v>
      </c>
      <c r="F68" s="27">
        <f t="shared" ca="1" si="65"/>
        <v>0</v>
      </c>
      <c r="G68" s="27">
        <f t="shared" ca="1" si="65"/>
        <v>0</v>
      </c>
      <c r="H68" s="27">
        <f t="shared" ca="1" si="65"/>
        <v>0</v>
      </c>
      <c r="I68" s="27">
        <f t="shared" ca="1" si="65"/>
        <v>0</v>
      </c>
      <c r="J68" s="27">
        <f t="shared" ca="1" si="65"/>
        <v>0</v>
      </c>
      <c r="K68" s="27">
        <f t="shared" ca="1" si="65"/>
        <v>0</v>
      </c>
      <c r="L68" s="27">
        <f t="shared" ca="1" si="65"/>
        <v>0</v>
      </c>
      <c r="M68" s="27">
        <f t="shared" ca="1" si="65"/>
        <v>0</v>
      </c>
      <c r="N68" s="27">
        <f t="shared" ca="1" si="65"/>
        <v>0</v>
      </c>
      <c r="O68" s="27">
        <f t="shared" ca="1" si="65"/>
        <v>0</v>
      </c>
      <c r="P68" s="27">
        <f t="shared" ca="1" si="65"/>
        <v>0</v>
      </c>
      <c r="Q68" s="27">
        <f t="shared" ca="1" si="65"/>
        <v>0</v>
      </c>
      <c r="R68" s="27">
        <f t="shared" ca="1" si="65"/>
        <v>0</v>
      </c>
      <c r="S68" s="27">
        <f t="shared" ca="1" si="65"/>
        <v>0</v>
      </c>
      <c r="T68" s="27">
        <f t="shared" ca="1" si="65"/>
        <v>0</v>
      </c>
      <c r="U68" s="27">
        <f t="shared" ca="1" si="65"/>
        <v>0</v>
      </c>
      <c r="V68" s="27">
        <f t="shared" ca="1" si="65"/>
        <v>0</v>
      </c>
      <c r="W68" s="27">
        <f t="shared" ca="1" si="65"/>
        <v>0</v>
      </c>
      <c r="X68" s="27">
        <f t="shared" ca="1" si="65"/>
        <v>0</v>
      </c>
    </row>
    <row r="69" spans="1:24">
      <c r="A69" s="103"/>
      <c r="B69" s="103"/>
      <c r="C69" s="10" t="s">
        <v>296</v>
      </c>
      <c r="D69" s="27">
        <f ca="1">SUM(D66:D68)</f>
        <v>0</v>
      </c>
      <c r="E69" s="27">
        <f t="shared" ref="E69:X69" ca="1" si="66">SUM(E66:E68)</f>
        <v>0</v>
      </c>
      <c r="F69" s="27">
        <f t="shared" ca="1" si="66"/>
        <v>0</v>
      </c>
      <c r="G69" s="27">
        <f t="shared" ca="1" si="66"/>
        <v>0</v>
      </c>
      <c r="H69" s="27">
        <f t="shared" ca="1" si="66"/>
        <v>0</v>
      </c>
      <c r="I69" s="27">
        <f t="shared" ca="1" si="66"/>
        <v>0</v>
      </c>
      <c r="J69" s="27">
        <f t="shared" ca="1" si="66"/>
        <v>0</v>
      </c>
      <c r="K69" s="27">
        <f t="shared" ca="1" si="66"/>
        <v>0</v>
      </c>
      <c r="L69" s="27">
        <f t="shared" ca="1" si="66"/>
        <v>0</v>
      </c>
      <c r="M69" s="27">
        <f t="shared" ca="1" si="66"/>
        <v>0</v>
      </c>
      <c r="N69" s="27">
        <f t="shared" ca="1" si="66"/>
        <v>0</v>
      </c>
      <c r="O69" s="27">
        <f t="shared" ca="1" si="66"/>
        <v>0</v>
      </c>
      <c r="P69" s="27">
        <f t="shared" ca="1" si="66"/>
        <v>0</v>
      </c>
      <c r="Q69" s="27">
        <f t="shared" ca="1" si="66"/>
        <v>0</v>
      </c>
      <c r="R69" s="27">
        <f t="shared" ca="1" si="66"/>
        <v>0</v>
      </c>
      <c r="S69" s="27">
        <f t="shared" ca="1" si="66"/>
        <v>0</v>
      </c>
      <c r="T69" s="27">
        <f t="shared" ca="1" si="66"/>
        <v>0</v>
      </c>
      <c r="U69" s="27">
        <f t="shared" ca="1" si="66"/>
        <v>0</v>
      </c>
      <c r="V69" s="27">
        <f t="shared" ca="1" si="66"/>
        <v>0</v>
      </c>
      <c r="W69" s="27">
        <f t="shared" ca="1" si="66"/>
        <v>0</v>
      </c>
      <c r="X69" s="27">
        <f t="shared" ca="1" si="66"/>
        <v>0</v>
      </c>
    </row>
    <row r="70" spans="1:24">
      <c r="A70" s="103"/>
      <c r="B70" s="103" t="s">
        <v>299</v>
      </c>
      <c r="C70" s="10" t="s">
        <v>298</v>
      </c>
      <c r="D70" s="27">
        <f ca="1">D41</f>
        <v>0</v>
      </c>
      <c r="E70" s="27">
        <f t="shared" ref="E70:G70" ca="1" si="67">E41</f>
        <v>0</v>
      </c>
      <c r="F70" s="27">
        <f t="shared" ca="1" si="67"/>
        <v>0</v>
      </c>
      <c r="G70" s="27">
        <f t="shared" ca="1" si="67"/>
        <v>0</v>
      </c>
      <c r="H70" s="27">
        <f t="shared" ref="H70:X70" ca="1" si="68">H41</f>
        <v>0</v>
      </c>
      <c r="I70" s="27">
        <f t="shared" ca="1" si="68"/>
        <v>0</v>
      </c>
      <c r="J70" s="27">
        <f t="shared" ca="1" si="68"/>
        <v>0</v>
      </c>
      <c r="K70" s="27">
        <f t="shared" ca="1" si="68"/>
        <v>0</v>
      </c>
      <c r="L70" s="27">
        <f t="shared" ca="1" si="68"/>
        <v>0</v>
      </c>
      <c r="M70" s="27">
        <f t="shared" ca="1" si="68"/>
        <v>0</v>
      </c>
      <c r="N70" s="27">
        <f t="shared" ca="1" si="68"/>
        <v>0</v>
      </c>
      <c r="O70" s="27">
        <f t="shared" ca="1" si="68"/>
        <v>0</v>
      </c>
      <c r="P70" s="27">
        <f t="shared" ca="1" si="68"/>
        <v>0</v>
      </c>
      <c r="Q70" s="27">
        <f t="shared" ca="1" si="68"/>
        <v>0</v>
      </c>
      <c r="R70" s="27">
        <f t="shared" ca="1" si="68"/>
        <v>0</v>
      </c>
      <c r="S70" s="27">
        <f t="shared" ca="1" si="68"/>
        <v>0</v>
      </c>
      <c r="T70" s="27">
        <f t="shared" ca="1" si="68"/>
        <v>0</v>
      </c>
      <c r="U70" s="27">
        <f t="shared" ca="1" si="68"/>
        <v>0</v>
      </c>
      <c r="V70" s="27">
        <f t="shared" ca="1" si="68"/>
        <v>0</v>
      </c>
      <c r="W70" s="27">
        <f t="shared" ca="1" si="68"/>
        <v>0</v>
      </c>
      <c r="X70" s="27">
        <f t="shared" ca="1" si="68"/>
        <v>0</v>
      </c>
    </row>
    <row r="71" spans="1:24">
      <c r="A71" s="103"/>
      <c r="B71" s="103"/>
      <c r="C71" s="10" t="s">
        <v>300</v>
      </c>
      <c r="D71" s="27">
        <f t="shared" ref="D71:F74" ca="1" si="69">D42</f>
        <v>0</v>
      </c>
      <c r="E71" s="27">
        <f t="shared" ca="1" si="69"/>
        <v>0</v>
      </c>
      <c r="F71" s="27">
        <f t="shared" ca="1" si="69"/>
        <v>0</v>
      </c>
      <c r="G71" s="27">
        <f t="shared" ref="G71:X71" ca="1" si="70">G42</f>
        <v>0</v>
      </c>
      <c r="H71" s="27">
        <f t="shared" ca="1" si="70"/>
        <v>0</v>
      </c>
      <c r="I71" s="27">
        <f t="shared" ca="1" si="70"/>
        <v>0</v>
      </c>
      <c r="J71" s="27">
        <f t="shared" ca="1" si="70"/>
        <v>0</v>
      </c>
      <c r="K71" s="27">
        <f t="shared" ca="1" si="70"/>
        <v>0</v>
      </c>
      <c r="L71" s="27">
        <f t="shared" ca="1" si="70"/>
        <v>0</v>
      </c>
      <c r="M71" s="27">
        <f t="shared" ca="1" si="70"/>
        <v>0</v>
      </c>
      <c r="N71" s="27">
        <f t="shared" ca="1" si="70"/>
        <v>0</v>
      </c>
      <c r="O71" s="27">
        <f t="shared" ca="1" si="70"/>
        <v>0</v>
      </c>
      <c r="P71" s="27">
        <f t="shared" ca="1" si="70"/>
        <v>0</v>
      </c>
      <c r="Q71" s="27">
        <f t="shared" ca="1" si="70"/>
        <v>0</v>
      </c>
      <c r="R71" s="27">
        <f t="shared" ca="1" si="70"/>
        <v>0</v>
      </c>
      <c r="S71" s="27">
        <f t="shared" ca="1" si="70"/>
        <v>0</v>
      </c>
      <c r="T71" s="27">
        <f t="shared" ca="1" si="70"/>
        <v>0</v>
      </c>
      <c r="U71" s="27">
        <f t="shared" ca="1" si="70"/>
        <v>0</v>
      </c>
      <c r="V71" s="27">
        <f t="shared" ca="1" si="70"/>
        <v>0</v>
      </c>
      <c r="W71" s="27">
        <f t="shared" ca="1" si="70"/>
        <v>0</v>
      </c>
      <c r="X71" s="27">
        <f t="shared" ca="1" si="70"/>
        <v>0</v>
      </c>
    </row>
    <row r="72" spans="1:24">
      <c r="A72" s="103"/>
      <c r="B72" s="103"/>
      <c r="C72" s="10" t="s">
        <v>283</v>
      </c>
      <c r="D72" s="27">
        <f t="shared" si="69"/>
        <v>0</v>
      </c>
      <c r="E72" s="27">
        <f t="shared" si="69"/>
        <v>0</v>
      </c>
      <c r="F72" s="27">
        <f t="shared" si="69"/>
        <v>0</v>
      </c>
      <c r="G72" s="27">
        <f t="shared" ref="G72:X72" si="71">G43</f>
        <v>0</v>
      </c>
      <c r="H72" s="27">
        <f t="shared" si="71"/>
        <v>0</v>
      </c>
      <c r="I72" s="27">
        <f t="shared" si="71"/>
        <v>0</v>
      </c>
      <c r="J72" s="27">
        <f t="shared" si="71"/>
        <v>0</v>
      </c>
      <c r="K72" s="27">
        <f t="shared" si="71"/>
        <v>0</v>
      </c>
      <c r="L72" s="27">
        <f t="shared" si="71"/>
        <v>0</v>
      </c>
      <c r="M72" s="27">
        <f t="shared" si="71"/>
        <v>0</v>
      </c>
      <c r="N72" s="27">
        <f t="shared" si="71"/>
        <v>0</v>
      </c>
      <c r="O72" s="27">
        <f t="shared" si="71"/>
        <v>0</v>
      </c>
      <c r="P72" s="27">
        <f t="shared" si="71"/>
        <v>0</v>
      </c>
      <c r="Q72" s="27">
        <f t="shared" si="71"/>
        <v>0</v>
      </c>
      <c r="R72" s="27">
        <f t="shared" si="71"/>
        <v>0</v>
      </c>
      <c r="S72" s="27">
        <f t="shared" si="71"/>
        <v>0</v>
      </c>
      <c r="T72" s="27">
        <f t="shared" si="71"/>
        <v>0</v>
      </c>
      <c r="U72" s="27">
        <f t="shared" si="71"/>
        <v>0</v>
      </c>
      <c r="V72" s="27">
        <f t="shared" si="71"/>
        <v>0</v>
      </c>
      <c r="W72" s="27">
        <f t="shared" si="71"/>
        <v>0</v>
      </c>
      <c r="X72" s="27">
        <f t="shared" si="71"/>
        <v>0</v>
      </c>
    </row>
    <row r="73" spans="1:24">
      <c r="A73" s="103"/>
      <c r="B73" s="103"/>
      <c r="C73" s="10" t="s">
        <v>286</v>
      </c>
      <c r="D73" s="27">
        <f t="shared" ref="D73:X73" si="72">D72+D1</f>
        <v>0</v>
      </c>
      <c r="E73" s="27">
        <f t="shared" ca="1" si="72"/>
        <v>1000</v>
      </c>
      <c r="F73" s="27">
        <f t="shared" ca="1" si="72"/>
        <v>2000</v>
      </c>
      <c r="G73" s="27">
        <f t="shared" ca="1" si="72"/>
        <v>3000</v>
      </c>
      <c r="H73" s="27">
        <f t="shared" ca="1" si="72"/>
        <v>4000</v>
      </c>
      <c r="I73" s="27">
        <f t="shared" ca="1" si="72"/>
        <v>5000</v>
      </c>
      <c r="J73" s="27">
        <f t="shared" ca="1" si="72"/>
        <v>6000</v>
      </c>
      <c r="K73" s="27">
        <f t="shared" ca="1" si="72"/>
        <v>7000</v>
      </c>
      <c r="L73" s="27">
        <f t="shared" ca="1" si="72"/>
        <v>8000</v>
      </c>
      <c r="M73" s="27">
        <f t="shared" ca="1" si="72"/>
        <v>9000</v>
      </c>
      <c r="N73" s="27">
        <f t="shared" ca="1" si="72"/>
        <v>10000</v>
      </c>
      <c r="O73" s="27">
        <f t="shared" ca="1" si="72"/>
        <v>11000</v>
      </c>
      <c r="P73" s="27">
        <f t="shared" ca="1" si="72"/>
        <v>12000</v>
      </c>
      <c r="Q73" s="27">
        <f t="shared" ca="1" si="72"/>
        <v>13000</v>
      </c>
      <c r="R73" s="27">
        <f t="shared" ca="1" si="72"/>
        <v>14000</v>
      </c>
      <c r="S73" s="27">
        <f t="shared" ca="1" si="72"/>
        <v>15000</v>
      </c>
      <c r="T73" s="27">
        <f t="shared" ca="1" si="72"/>
        <v>16000</v>
      </c>
      <c r="U73" s="27">
        <f t="shared" ca="1" si="72"/>
        <v>17000</v>
      </c>
      <c r="V73" s="27">
        <f t="shared" ca="1" si="72"/>
        <v>18000</v>
      </c>
      <c r="W73" s="27">
        <f t="shared" ca="1" si="72"/>
        <v>19000</v>
      </c>
      <c r="X73" s="27">
        <f t="shared" ca="1" si="72"/>
        <v>20000</v>
      </c>
    </row>
    <row r="74" spans="1:24">
      <c r="A74" s="103"/>
      <c r="B74" s="103"/>
      <c r="C74" s="10" t="s">
        <v>304</v>
      </c>
      <c r="D74" s="27">
        <f t="shared" ca="1" si="69"/>
        <v>0</v>
      </c>
      <c r="E74" s="27">
        <f t="shared" ca="1" si="69"/>
        <v>0</v>
      </c>
      <c r="F74" s="27">
        <f t="shared" ca="1" si="69"/>
        <v>0</v>
      </c>
      <c r="G74" s="27">
        <f t="shared" ref="G74:X74" ca="1" si="73">G45</f>
        <v>0</v>
      </c>
      <c r="H74" s="27">
        <f t="shared" ca="1" si="73"/>
        <v>0</v>
      </c>
      <c r="I74" s="27">
        <f t="shared" ca="1" si="73"/>
        <v>0</v>
      </c>
      <c r="J74" s="27">
        <f t="shared" ca="1" si="73"/>
        <v>0</v>
      </c>
      <c r="K74" s="27">
        <f t="shared" ca="1" si="73"/>
        <v>0</v>
      </c>
      <c r="L74" s="27">
        <f t="shared" ca="1" si="73"/>
        <v>0</v>
      </c>
      <c r="M74" s="27">
        <f t="shared" ca="1" si="73"/>
        <v>0</v>
      </c>
      <c r="N74" s="27">
        <f t="shared" ca="1" si="73"/>
        <v>0</v>
      </c>
      <c r="O74" s="27">
        <f t="shared" ca="1" si="73"/>
        <v>0</v>
      </c>
      <c r="P74" s="27">
        <f t="shared" ca="1" si="73"/>
        <v>0</v>
      </c>
      <c r="Q74" s="27">
        <f t="shared" ca="1" si="73"/>
        <v>0</v>
      </c>
      <c r="R74" s="27">
        <f t="shared" ca="1" si="73"/>
        <v>0</v>
      </c>
      <c r="S74" s="27">
        <f t="shared" ca="1" si="73"/>
        <v>0</v>
      </c>
      <c r="T74" s="27">
        <f t="shared" ca="1" si="73"/>
        <v>0</v>
      </c>
      <c r="U74" s="27">
        <f t="shared" ca="1" si="73"/>
        <v>0</v>
      </c>
      <c r="V74" s="27">
        <f t="shared" ca="1" si="73"/>
        <v>0</v>
      </c>
      <c r="W74" s="27">
        <f t="shared" ca="1" si="73"/>
        <v>0</v>
      </c>
      <c r="X74" s="27">
        <f t="shared" ca="1" si="73"/>
        <v>0</v>
      </c>
    </row>
    <row r="75" spans="1:24">
      <c r="A75" s="103"/>
      <c r="B75" s="103"/>
      <c r="C75" s="10" t="s">
        <v>305</v>
      </c>
      <c r="D75" s="27">
        <f ca="1">MAX(ROUNDUP((MIN(D74,D73)-2000)*D24,0),0)</f>
        <v>0</v>
      </c>
      <c r="E75" s="27">
        <f t="shared" ref="E75:G75" ca="1" si="74">MAX(ROUNDUP((MIN(E74,E73)-2000)*E24,0),0)</f>
        <v>0</v>
      </c>
      <c r="F75" s="27">
        <f t="shared" ca="1" si="74"/>
        <v>0</v>
      </c>
      <c r="G75" s="27">
        <f t="shared" ca="1" si="74"/>
        <v>0</v>
      </c>
      <c r="H75" s="27">
        <f t="shared" ref="H75" ca="1" si="75">MAX(ROUNDUP((MIN(H74,H73)-2000)*H24,0),0)</f>
        <v>0</v>
      </c>
      <c r="I75" s="27">
        <f t="shared" ref="I75:J75" ca="1" si="76">MAX(ROUNDUP((MIN(I74,I73)-2000)*I24,0),0)</f>
        <v>0</v>
      </c>
      <c r="J75" s="27">
        <f t="shared" ca="1" si="76"/>
        <v>0</v>
      </c>
      <c r="K75" s="27">
        <f t="shared" ref="K75" ca="1" si="77">MAX(ROUNDUP((MIN(K74,K73)-2000)*K24,0),0)</f>
        <v>0</v>
      </c>
      <c r="L75" s="27">
        <f t="shared" ref="L75:M75" ca="1" si="78">MAX(ROUNDUP((MIN(L74,L73)-2000)*L24,0),0)</f>
        <v>0</v>
      </c>
      <c r="M75" s="27">
        <f t="shared" ca="1" si="78"/>
        <v>0</v>
      </c>
      <c r="N75" s="27">
        <f t="shared" ref="N75" ca="1" si="79">MAX(ROUNDUP((MIN(N74,N73)-2000)*N24,0),0)</f>
        <v>0</v>
      </c>
      <c r="O75" s="27">
        <f t="shared" ref="O75:P75" ca="1" si="80">MAX(ROUNDUP((MIN(O74,O73)-2000)*O24,0),0)</f>
        <v>0</v>
      </c>
      <c r="P75" s="27">
        <f t="shared" ca="1" si="80"/>
        <v>0</v>
      </c>
      <c r="Q75" s="27">
        <f t="shared" ref="Q75" ca="1" si="81">MAX(ROUNDUP((MIN(Q74,Q73)-2000)*Q24,0),0)</f>
        <v>0</v>
      </c>
      <c r="R75" s="27">
        <f t="shared" ref="R75:S75" ca="1" si="82">MAX(ROUNDUP((MIN(R74,R73)-2000)*R24,0),0)</f>
        <v>0</v>
      </c>
      <c r="S75" s="27">
        <f t="shared" ca="1" si="82"/>
        <v>0</v>
      </c>
      <c r="T75" s="27">
        <f t="shared" ref="T75" ca="1" si="83">MAX(ROUNDUP((MIN(T74,T73)-2000)*T24,0),0)</f>
        <v>0</v>
      </c>
      <c r="U75" s="27">
        <f t="shared" ref="U75:V75" ca="1" si="84">MAX(ROUNDUP((MIN(U74,U73)-2000)*U24,0),0)</f>
        <v>0</v>
      </c>
      <c r="V75" s="27">
        <f t="shared" ca="1" si="84"/>
        <v>0</v>
      </c>
      <c r="W75" s="27">
        <f t="shared" ref="W75" ca="1" si="85">MAX(ROUNDUP((MIN(W74,W73)-2000)*W24,0),0)</f>
        <v>0</v>
      </c>
      <c r="X75" s="27">
        <f t="shared" ref="X75" ca="1" si="86">MAX(ROUNDUP((MIN(X74,X73)-2000)*X24,0),0)</f>
        <v>0</v>
      </c>
    </row>
    <row r="76" spans="1:24">
      <c r="A76" s="103"/>
      <c r="B76" s="103"/>
      <c r="C76" s="10" t="s">
        <v>306</v>
      </c>
      <c r="D76" s="27">
        <f ca="1">ROUNDUP($D$70*0.2,0)</f>
        <v>0</v>
      </c>
      <c r="E76" s="27">
        <f t="shared" ref="E76:X76" ca="1" si="87">ROUNDUP($D$70*0.2,0)</f>
        <v>0</v>
      </c>
      <c r="F76" s="27">
        <f t="shared" ca="1" si="87"/>
        <v>0</v>
      </c>
      <c r="G76" s="27">
        <f t="shared" ca="1" si="87"/>
        <v>0</v>
      </c>
      <c r="H76" s="27">
        <f t="shared" ca="1" si="87"/>
        <v>0</v>
      </c>
      <c r="I76" s="27">
        <f t="shared" ca="1" si="87"/>
        <v>0</v>
      </c>
      <c r="J76" s="27">
        <f t="shared" ca="1" si="87"/>
        <v>0</v>
      </c>
      <c r="K76" s="27">
        <f t="shared" ca="1" si="87"/>
        <v>0</v>
      </c>
      <c r="L76" s="27">
        <f t="shared" ca="1" si="87"/>
        <v>0</v>
      </c>
      <c r="M76" s="27">
        <f t="shared" ca="1" si="87"/>
        <v>0</v>
      </c>
      <c r="N76" s="27">
        <f t="shared" ca="1" si="87"/>
        <v>0</v>
      </c>
      <c r="O76" s="27">
        <f t="shared" ca="1" si="87"/>
        <v>0</v>
      </c>
      <c r="P76" s="27">
        <f t="shared" ca="1" si="87"/>
        <v>0</v>
      </c>
      <c r="Q76" s="27">
        <f t="shared" ca="1" si="87"/>
        <v>0</v>
      </c>
      <c r="R76" s="27">
        <f t="shared" ca="1" si="87"/>
        <v>0</v>
      </c>
      <c r="S76" s="27">
        <f t="shared" ca="1" si="87"/>
        <v>0</v>
      </c>
      <c r="T76" s="27">
        <f t="shared" ca="1" si="87"/>
        <v>0</v>
      </c>
      <c r="U76" s="27">
        <f t="shared" ca="1" si="87"/>
        <v>0</v>
      </c>
      <c r="V76" s="27">
        <f t="shared" ca="1" si="87"/>
        <v>0</v>
      </c>
      <c r="W76" s="27">
        <f t="shared" ca="1" si="87"/>
        <v>0</v>
      </c>
      <c r="X76" s="27">
        <f t="shared" ca="1" si="87"/>
        <v>0</v>
      </c>
    </row>
    <row r="77" spans="1:24">
      <c r="A77" s="103"/>
      <c r="B77" s="103"/>
      <c r="C77" s="10" t="s">
        <v>307</v>
      </c>
      <c r="D77" s="20">
        <f ca="1">MAX(MIN(ROUNDUP(((D$1-2000)*(0.9-$D12*(1+$D18)))*$D24/($D23+$D24),0),D76),0)</f>
        <v>0</v>
      </c>
      <c r="E77" s="20">
        <f t="shared" ref="E77:X77" ca="1" si="88">MAX(MIN(ROUNDUP(((E$1-2000)*(0.9-$D12*(1+$D18)))*$D24/($D23+$D24),0),E76),0)</f>
        <v>0</v>
      </c>
      <c r="F77" s="20">
        <f t="shared" ca="1" si="88"/>
        <v>0</v>
      </c>
      <c r="G77" s="20">
        <f t="shared" ca="1" si="88"/>
        <v>0</v>
      </c>
      <c r="H77" s="20">
        <f t="shared" ca="1" si="88"/>
        <v>0</v>
      </c>
      <c r="I77" s="20">
        <f t="shared" ca="1" si="88"/>
        <v>0</v>
      </c>
      <c r="J77" s="20">
        <f t="shared" ca="1" si="88"/>
        <v>0</v>
      </c>
      <c r="K77" s="20">
        <f t="shared" ca="1" si="88"/>
        <v>0</v>
      </c>
      <c r="L77" s="20">
        <f t="shared" ca="1" si="88"/>
        <v>0</v>
      </c>
      <c r="M77" s="20">
        <f t="shared" ca="1" si="88"/>
        <v>0</v>
      </c>
      <c r="N77" s="20">
        <f t="shared" ca="1" si="88"/>
        <v>0</v>
      </c>
      <c r="O77" s="20">
        <f t="shared" ca="1" si="88"/>
        <v>0</v>
      </c>
      <c r="P77" s="20">
        <f t="shared" ca="1" si="88"/>
        <v>0</v>
      </c>
      <c r="Q77" s="20">
        <f t="shared" ca="1" si="88"/>
        <v>0</v>
      </c>
      <c r="R77" s="20">
        <f t="shared" ca="1" si="88"/>
        <v>0</v>
      </c>
      <c r="S77" s="20">
        <f t="shared" ca="1" si="88"/>
        <v>0</v>
      </c>
      <c r="T77" s="20">
        <f t="shared" ca="1" si="88"/>
        <v>0</v>
      </c>
      <c r="U77" s="20">
        <f t="shared" ca="1" si="88"/>
        <v>0</v>
      </c>
      <c r="V77" s="20">
        <f t="shared" ca="1" si="88"/>
        <v>0</v>
      </c>
      <c r="W77" s="20">
        <f t="shared" ca="1" si="88"/>
        <v>0</v>
      </c>
      <c r="X77" s="20">
        <f t="shared" ca="1" si="88"/>
        <v>0</v>
      </c>
    </row>
    <row r="78" spans="1:24">
      <c r="A78" s="103"/>
      <c r="B78" s="103"/>
      <c r="C78" s="10" t="s">
        <v>316</v>
      </c>
      <c r="D78" s="27">
        <f ca="1">ROUNDUP($D13*D77,0)</f>
        <v>0</v>
      </c>
      <c r="E78" s="27">
        <f t="shared" ref="E78:X78" ca="1" si="89">ROUNDUP($D13*E77,0)</f>
        <v>0</v>
      </c>
      <c r="F78" s="27">
        <f t="shared" ca="1" si="89"/>
        <v>0</v>
      </c>
      <c r="G78" s="27">
        <f t="shared" ca="1" si="89"/>
        <v>0</v>
      </c>
      <c r="H78" s="27">
        <f t="shared" ca="1" si="89"/>
        <v>0</v>
      </c>
      <c r="I78" s="27">
        <f t="shared" ca="1" si="89"/>
        <v>0</v>
      </c>
      <c r="J78" s="27">
        <f t="shared" ca="1" si="89"/>
        <v>0</v>
      </c>
      <c r="K78" s="27">
        <f t="shared" ca="1" si="89"/>
        <v>0</v>
      </c>
      <c r="L78" s="27">
        <f t="shared" ca="1" si="89"/>
        <v>0</v>
      </c>
      <c r="M78" s="27">
        <f t="shared" ca="1" si="89"/>
        <v>0</v>
      </c>
      <c r="N78" s="27">
        <f t="shared" ca="1" si="89"/>
        <v>0</v>
      </c>
      <c r="O78" s="27">
        <f t="shared" ca="1" si="89"/>
        <v>0</v>
      </c>
      <c r="P78" s="27">
        <f t="shared" ca="1" si="89"/>
        <v>0</v>
      </c>
      <c r="Q78" s="27">
        <f t="shared" ca="1" si="89"/>
        <v>0</v>
      </c>
      <c r="R78" s="27">
        <f t="shared" ca="1" si="89"/>
        <v>0</v>
      </c>
      <c r="S78" s="27">
        <f t="shared" ca="1" si="89"/>
        <v>0</v>
      </c>
      <c r="T78" s="27">
        <f t="shared" ca="1" si="89"/>
        <v>0</v>
      </c>
      <c r="U78" s="27">
        <f t="shared" ca="1" si="89"/>
        <v>0</v>
      </c>
      <c r="V78" s="27">
        <f t="shared" ca="1" si="89"/>
        <v>0</v>
      </c>
      <c r="W78" s="27">
        <f t="shared" ca="1" si="89"/>
        <v>0</v>
      </c>
      <c r="X78" s="27">
        <f t="shared" ca="1" si="89"/>
        <v>0</v>
      </c>
    </row>
    <row r="79" spans="1:24">
      <c r="A79" s="103"/>
      <c r="B79" s="103"/>
      <c r="C79" s="10" t="s">
        <v>308</v>
      </c>
      <c r="D79" s="20">
        <f ca="1">D75+D77+D78</f>
        <v>0</v>
      </c>
      <c r="E79" s="20">
        <f t="shared" ref="E79:X79" ca="1" si="90">E75+E77+E78</f>
        <v>0</v>
      </c>
      <c r="F79" s="20">
        <f t="shared" ca="1" si="90"/>
        <v>0</v>
      </c>
      <c r="G79" s="20">
        <f t="shared" ca="1" si="90"/>
        <v>0</v>
      </c>
      <c r="H79" s="20">
        <f t="shared" ca="1" si="90"/>
        <v>0</v>
      </c>
      <c r="I79" s="20">
        <f t="shared" ca="1" si="90"/>
        <v>0</v>
      </c>
      <c r="J79" s="20">
        <f t="shared" ca="1" si="90"/>
        <v>0</v>
      </c>
      <c r="K79" s="20">
        <f t="shared" ca="1" si="90"/>
        <v>0</v>
      </c>
      <c r="L79" s="20">
        <f t="shared" ca="1" si="90"/>
        <v>0</v>
      </c>
      <c r="M79" s="20">
        <f t="shared" ca="1" si="90"/>
        <v>0</v>
      </c>
      <c r="N79" s="20">
        <f t="shared" ca="1" si="90"/>
        <v>0</v>
      </c>
      <c r="O79" s="20">
        <f t="shared" ca="1" si="90"/>
        <v>0</v>
      </c>
      <c r="P79" s="20">
        <f t="shared" ca="1" si="90"/>
        <v>0</v>
      </c>
      <c r="Q79" s="20">
        <f t="shared" ca="1" si="90"/>
        <v>0</v>
      </c>
      <c r="R79" s="20">
        <f t="shared" ca="1" si="90"/>
        <v>0</v>
      </c>
      <c r="S79" s="20">
        <f t="shared" ca="1" si="90"/>
        <v>0</v>
      </c>
      <c r="T79" s="20">
        <f t="shared" ca="1" si="90"/>
        <v>0</v>
      </c>
      <c r="U79" s="20">
        <f t="shared" ca="1" si="90"/>
        <v>0</v>
      </c>
      <c r="V79" s="20">
        <f t="shared" ca="1" si="90"/>
        <v>0</v>
      </c>
      <c r="W79" s="20">
        <f t="shared" ca="1" si="90"/>
        <v>0</v>
      </c>
      <c r="X79" s="20">
        <f t="shared" ca="1" si="90"/>
        <v>0</v>
      </c>
    </row>
    <row r="80" spans="1:24">
      <c r="A80" s="103"/>
      <c r="B80" s="103"/>
      <c r="C80" s="10" t="s">
        <v>309</v>
      </c>
      <c r="D80" s="27">
        <f ca="1">IF(D71+D79&gt;=D70,0,ROUNDDOWN(D70-D71-D79,-2))</f>
        <v>0</v>
      </c>
      <c r="E80" s="51">
        <f t="shared" ref="E80:X80" ca="1" si="91">IF(E71+E79&gt;=E70,0,ROUNDDOWN(E70-E71-E79,-2))</f>
        <v>0</v>
      </c>
      <c r="F80" s="27">
        <f t="shared" ca="1" si="91"/>
        <v>0</v>
      </c>
      <c r="G80" s="27">
        <f t="shared" ca="1" si="91"/>
        <v>0</v>
      </c>
      <c r="H80" s="27">
        <f t="shared" ca="1" si="91"/>
        <v>0</v>
      </c>
      <c r="I80" s="27">
        <f t="shared" ca="1" si="91"/>
        <v>0</v>
      </c>
      <c r="J80" s="27">
        <f t="shared" ca="1" si="91"/>
        <v>0</v>
      </c>
      <c r="K80" s="27">
        <f t="shared" ca="1" si="91"/>
        <v>0</v>
      </c>
      <c r="L80" s="27">
        <f t="shared" ca="1" si="91"/>
        <v>0</v>
      </c>
      <c r="M80" s="27">
        <f t="shared" ca="1" si="91"/>
        <v>0</v>
      </c>
      <c r="N80" s="27">
        <f t="shared" ca="1" si="91"/>
        <v>0</v>
      </c>
      <c r="O80" s="27">
        <f t="shared" ca="1" si="91"/>
        <v>0</v>
      </c>
      <c r="P80" s="27">
        <f t="shared" ca="1" si="91"/>
        <v>0</v>
      </c>
      <c r="Q80" s="27">
        <f t="shared" ca="1" si="91"/>
        <v>0</v>
      </c>
      <c r="R80" s="27">
        <f t="shared" ca="1" si="91"/>
        <v>0</v>
      </c>
      <c r="S80" s="27">
        <f t="shared" ca="1" si="91"/>
        <v>0</v>
      </c>
      <c r="T80" s="27">
        <f t="shared" ca="1" si="91"/>
        <v>0</v>
      </c>
      <c r="U80" s="27">
        <f t="shared" ca="1" si="91"/>
        <v>0</v>
      </c>
      <c r="V80" s="27">
        <f t="shared" ca="1" si="91"/>
        <v>0</v>
      </c>
      <c r="W80" s="27">
        <f t="shared" ca="1" si="91"/>
        <v>0</v>
      </c>
      <c r="X80" s="27">
        <f t="shared" ca="1" si="91"/>
        <v>0</v>
      </c>
    </row>
    <row r="81" spans="1:24">
      <c r="A81" s="103"/>
      <c r="B81" s="103"/>
      <c r="C81" s="10" t="s">
        <v>310</v>
      </c>
      <c r="D81" s="27">
        <f ca="1">D51</f>
        <v>0</v>
      </c>
      <c r="E81" s="27">
        <f t="shared" ref="E81:X81" ca="1" si="92">E51</f>
        <v>0</v>
      </c>
      <c r="F81" s="27">
        <f t="shared" ca="1" si="92"/>
        <v>0</v>
      </c>
      <c r="G81" s="27">
        <f t="shared" ca="1" si="92"/>
        <v>0</v>
      </c>
      <c r="H81" s="27">
        <f t="shared" ca="1" si="92"/>
        <v>0</v>
      </c>
      <c r="I81" s="27">
        <f t="shared" ca="1" si="92"/>
        <v>0</v>
      </c>
      <c r="J81" s="27">
        <f t="shared" ca="1" si="92"/>
        <v>0</v>
      </c>
      <c r="K81" s="27">
        <f t="shared" ca="1" si="92"/>
        <v>0</v>
      </c>
      <c r="L81" s="27">
        <f t="shared" ca="1" si="92"/>
        <v>0</v>
      </c>
      <c r="M81" s="27">
        <f t="shared" ca="1" si="92"/>
        <v>0</v>
      </c>
      <c r="N81" s="27">
        <f t="shared" ca="1" si="92"/>
        <v>0</v>
      </c>
      <c r="O81" s="27">
        <f t="shared" ca="1" si="92"/>
        <v>0</v>
      </c>
      <c r="P81" s="27">
        <f t="shared" ca="1" si="92"/>
        <v>0</v>
      </c>
      <c r="Q81" s="27">
        <f t="shared" ca="1" si="92"/>
        <v>0</v>
      </c>
      <c r="R81" s="27">
        <f t="shared" ca="1" si="92"/>
        <v>0</v>
      </c>
      <c r="S81" s="27">
        <f t="shared" ca="1" si="92"/>
        <v>0</v>
      </c>
      <c r="T81" s="27">
        <f t="shared" ca="1" si="92"/>
        <v>0</v>
      </c>
      <c r="U81" s="27">
        <f t="shared" ca="1" si="92"/>
        <v>0</v>
      </c>
      <c r="V81" s="27">
        <f t="shared" ca="1" si="92"/>
        <v>0</v>
      </c>
      <c r="W81" s="27">
        <f t="shared" ca="1" si="92"/>
        <v>0</v>
      </c>
      <c r="X81" s="27">
        <f t="shared" ca="1" si="92"/>
        <v>0</v>
      </c>
    </row>
    <row r="82" spans="1:24">
      <c r="A82" s="103"/>
      <c r="B82" s="103"/>
      <c r="C82" s="10" t="s">
        <v>311</v>
      </c>
      <c r="D82" s="27">
        <f ca="1">D52</f>
        <v>0</v>
      </c>
      <c r="E82" s="27">
        <f t="shared" ref="E82:X82" ca="1" si="93">E52</f>
        <v>0</v>
      </c>
      <c r="F82" s="27">
        <f t="shared" ca="1" si="93"/>
        <v>0</v>
      </c>
      <c r="G82" s="27">
        <f t="shared" ca="1" si="93"/>
        <v>0</v>
      </c>
      <c r="H82" s="27">
        <f t="shared" ca="1" si="93"/>
        <v>0</v>
      </c>
      <c r="I82" s="27">
        <f t="shared" ca="1" si="93"/>
        <v>0</v>
      </c>
      <c r="J82" s="27">
        <f t="shared" ca="1" si="93"/>
        <v>0</v>
      </c>
      <c r="K82" s="27">
        <f t="shared" ca="1" si="93"/>
        <v>0</v>
      </c>
      <c r="L82" s="27">
        <f t="shared" ca="1" si="93"/>
        <v>0</v>
      </c>
      <c r="M82" s="27">
        <f t="shared" ca="1" si="93"/>
        <v>0</v>
      </c>
      <c r="N82" s="27">
        <f t="shared" ca="1" si="93"/>
        <v>0</v>
      </c>
      <c r="O82" s="27">
        <f t="shared" ca="1" si="93"/>
        <v>0</v>
      </c>
      <c r="P82" s="27">
        <f t="shared" ca="1" si="93"/>
        <v>0</v>
      </c>
      <c r="Q82" s="27">
        <f t="shared" ca="1" si="93"/>
        <v>0</v>
      </c>
      <c r="R82" s="27">
        <f t="shared" ca="1" si="93"/>
        <v>0</v>
      </c>
      <c r="S82" s="27">
        <f t="shared" ca="1" si="93"/>
        <v>0</v>
      </c>
      <c r="T82" s="27">
        <f t="shared" ca="1" si="93"/>
        <v>0</v>
      </c>
      <c r="U82" s="27">
        <f t="shared" ca="1" si="93"/>
        <v>0</v>
      </c>
      <c r="V82" s="27">
        <f t="shared" ca="1" si="93"/>
        <v>0</v>
      </c>
      <c r="W82" s="27">
        <f t="shared" ca="1" si="93"/>
        <v>0</v>
      </c>
      <c r="X82" s="27">
        <f t="shared" ca="1" si="93"/>
        <v>0</v>
      </c>
    </row>
    <row r="83" spans="1:24">
      <c r="A83" s="103"/>
      <c r="B83" s="103"/>
      <c r="C83" s="10" t="s">
        <v>296</v>
      </c>
      <c r="D83" s="27">
        <f ca="1">SUM(D80:D82)</f>
        <v>0</v>
      </c>
      <c r="E83" s="27">
        <f t="shared" ref="E83:X83" ca="1" si="94">SUM(E80:E82)</f>
        <v>0</v>
      </c>
      <c r="F83" s="27">
        <f t="shared" ca="1" si="94"/>
        <v>0</v>
      </c>
      <c r="G83" s="27">
        <f t="shared" ca="1" si="94"/>
        <v>0</v>
      </c>
      <c r="H83" s="27">
        <f t="shared" ca="1" si="94"/>
        <v>0</v>
      </c>
      <c r="I83" s="27">
        <f t="shared" ca="1" si="94"/>
        <v>0</v>
      </c>
      <c r="J83" s="27">
        <f t="shared" ca="1" si="94"/>
        <v>0</v>
      </c>
      <c r="K83" s="27">
        <f t="shared" ca="1" si="94"/>
        <v>0</v>
      </c>
      <c r="L83" s="27">
        <f t="shared" ca="1" si="94"/>
        <v>0</v>
      </c>
      <c r="M83" s="27">
        <f t="shared" ca="1" si="94"/>
        <v>0</v>
      </c>
      <c r="N83" s="27">
        <f t="shared" ca="1" si="94"/>
        <v>0</v>
      </c>
      <c r="O83" s="27">
        <f t="shared" ca="1" si="94"/>
        <v>0</v>
      </c>
      <c r="P83" s="27">
        <f t="shared" ca="1" si="94"/>
        <v>0</v>
      </c>
      <c r="Q83" s="27">
        <f t="shared" ca="1" si="94"/>
        <v>0</v>
      </c>
      <c r="R83" s="27">
        <f t="shared" ca="1" si="94"/>
        <v>0</v>
      </c>
      <c r="S83" s="27">
        <f t="shared" ca="1" si="94"/>
        <v>0</v>
      </c>
      <c r="T83" s="27">
        <f t="shared" ca="1" si="94"/>
        <v>0</v>
      </c>
      <c r="U83" s="27">
        <f t="shared" ca="1" si="94"/>
        <v>0</v>
      </c>
      <c r="V83" s="27">
        <f t="shared" ca="1" si="94"/>
        <v>0</v>
      </c>
      <c r="W83" s="27">
        <f t="shared" ca="1" si="94"/>
        <v>0</v>
      </c>
      <c r="X83" s="27">
        <f t="shared" ca="1" si="94"/>
        <v>0</v>
      </c>
    </row>
    <row r="84" spans="1:24">
      <c r="A84" s="103"/>
      <c r="B84" s="103" t="s">
        <v>313</v>
      </c>
      <c r="C84" s="24" t="s">
        <v>312</v>
      </c>
      <c r="D84" s="27">
        <f ca="1">D69+D83</f>
        <v>0</v>
      </c>
      <c r="E84" s="27">
        <f t="shared" ref="E84:X84" ca="1" si="95">E69+E83</f>
        <v>0</v>
      </c>
      <c r="F84" s="27">
        <f t="shared" ca="1" si="95"/>
        <v>0</v>
      </c>
      <c r="G84" s="27">
        <f t="shared" ca="1" si="95"/>
        <v>0</v>
      </c>
      <c r="H84" s="27">
        <f t="shared" ca="1" si="95"/>
        <v>0</v>
      </c>
      <c r="I84" s="27">
        <f t="shared" ca="1" si="95"/>
        <v>0</v>
      </c>
      <c r="J84" s="27">
        <f t="shared" ca="1" si="95"/>
        <v>0</v>
      </c>
      <c r="K84" s="27">
        <f t="shared" ca="1" si="95"/>
        <v>0</v>
      </c>
      <c r="L84" s="27">
        <f t="shared" ca="1" si="95"/>
        <v>0</v>
      </c>
      <c r="M84" s="27">
        <f t="shared" ca="1" si="95"/>
        <v>0</v>
      </c>
      <c r="N84" s="27">
        <f t="shared" ca="1" si="95"/>
        <v>0</v>
      </c>
      <c r="O84" s="27">
        <f t="shared" ca="1" si="95"/>
        <v>0</v>
      </c>
      <c r="P84" s="27">
        <f t="shared" ca="1" si="95"/>
        <v>0</v>
      </c>
      <c r="Q84" s="27">
        <f t="shared" ca="1" si="95"/>
        <v>0</v>
      </c>
      <c r="R84" s="27">
        <f t="shared" ca="1" si="95"/>
        <v>0</v>
      </c>
      <c r="S84" s="27">
        <f t="shared" ca="1" si="95"/>
        <v>0</v>
      </c>
      <c r="T84" s="27">
        <f t="shared" ca="1" si="95"/>
        <v>0</v>
      </c>
      <c r="U84" s="27">
        <f t="shared" ca="1" si="95"/>
        <v>0</v>
      </c>
      <c r="V84" s="27">
        <f t="shared" ca="1" si="95"/>
        <v>0</v>
      </c>
      <c r="W84" s="27">
        <f t="shared" ca="1" si="95"/>
        <v>0</v>
      </c>
      <c r="X84" s="27">
        <f t="shared" ca="1" si="95"/>
        <v>0</v>
      </c>
    </row>
    <row r="85" spans="1:24">
      <c r="A85" s="103"/>
      <c r="B85" s="103"/>
      <c r="C85" s="24" t="s">
        <v>314</v>
      </c>
      <c r="D85" s="27">
        <f ca="1">IF(申告計算!$S7="可能",D27-D84,0)</f>
        <v>0</v>
      </c>
      <c r="E85" s="27">
        <f ca="1">IF(申告計算!$S7="可能",E27-E84,0)</f>
        <v>0</v>
      </c>
      <c r="F85" s="27">
        <f ca="1">IF(申告計算!$S7="可能",F27-F84,0)</f>
        <v>0</v>
      </c>
      <c r="G85" s="27">
        <f ca="1">IF(申告計算!$S7="可能",G27-G84,0)</f>
        <v>0</v>
      </c>
      <c r="H85" s="27">
        <f ca="1">IF(申告計算!$S7="可能",H27-H84,0)</f>
        <v>0</v>
      </c>
      <c r="I85" s="27">
        <f ca="1">IF(申告計算!$S7="可能",I27-I84,0)</f>
        <v>0</v>
      </c>
      <c r="J85" s="27">
        <f ca="1">IF(申告計算!$S7="可能",J27-J84,0)</f>
        <v>0</v>
      </c>
      <c r="K85" s="27">
        <f ca="1">IF(申告計算!$S7="可能",K27-K84,0)</f>
        <v>0</v>
      </c>
      <c r="L85" s="27">
        <f ca="1">IF(申告計算!$S7="可能",L27-L84,0)</f>
        <v>0</v>
      </c>
      <c r="M85" s="27">
        <f ca="1">IF(申告計算!$S7="可能",M27-M84,0)</f>
        <v>0</v>
      </c>
      <c r="N85" s="27">
        <f ca="1">IF(申告計算!$S7="可能",N27-N84,0)</f>
        <v>0</v>
      </c>
      <c r="O85" s="27">
        <f ca="1">IF(申告計算!$S7="可能",O27-O84,0)</f>
        <v>0</v>
      </c>
      <c r="P85" s="27">
        <f ca="1">IF(申告計算!$S7="可能",P27-P84,0)</f>
        <v>0</v>
      </c>
      <c r="Q85" s="27">
        <f ca="1">IF(申告計算!$S7="可能",Q27-Q84,0)</f>
        <v>0</v>
      </c>
      <c r="R85" s="27">
        <f ca="1">IF(申告計算!$S7="可能",R27-R84,0)</f>
        <v>0</v>
      </c>
      <c r="S85" s="27">
        <f ca="1">IF(申告計算!$S7="可能",S27-S84,0)</f>
        <v>0</v>
      </c>
      <c r="T85" s="27">
        <f ca="1">IF(申告計算!$S7="可能",T27-T84,0)</f>
        <v>0</v>
      </c>
      <c r="U85" s="27">
        <f ca="1">IF(申告計算!$S7="可能",U27-U84,0)</f>
        <v>0</v>
      </c>
      <c r="V85" s="27">
        <f ca="1">IF(申告計算!$S7="可能",V27-V84,0)</f>
        <v>0</v>
      </c>
      <c r="W85" s="27">
        <f ca="1">IF(申告計算!$S7="可能",W27-W84,0)</f>
        <v>0</v>
      </c>
      <c r="X85" s="27">
        <f ca="1">IF(申告計算!$S7="可能",X27-X84,0)</f>
        <v>0</v>
      </c>
    </row>
  </sheetData>
  <sheetProtection sheet="1" objects="1" scenarios="1"/>
  <mergeCells count="13">
    <mergeCell ref="A1:C1"/>
    <mergeCell ref="B56:B69"/>
    <mergeCell ref="B70:B83"/>
    <mergeCell ref="B84:B85"/>
    <mergeCell ref="A56:A85"/>
    <mergeCell ref="A4:B21"/>
    <mergeCell ref="A22:A27"/>
    <mergeCell ref="B25:B27"/>
    <mergeCell ref="B22:B24"/>
    <mergeCell ref="A28:A55"/>
    <mergeCell ref="B28:B40"/>
    <mergeCell ref="B41:B53"/>
    <mergeCell ref="B54:B55"/>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428EA-021D-490A-9217-3B921C18EBE0}">
  <sheetPr>
    <tabColor theme="4" tint="0.59999389629810485"/>
  </sheetPr>
  <dimension ref="A1:F18"/>
  <sheetViews>
    <sheetView workbookViewId="0">
      <selection activeCell="B17" sqref="B17"/>
    </sheetView>
  </sheetViews>
  <sheetFormatPr defaultRowHeight="13.5"/>
  <cols>
    <col min="1" max="2" width="12.5" customWidth="1"/>
    <col min="3" max="3" width="2.5" customWidth="1"/>
    <col min="5" max="5" width="16.5" bestFit="1" customWidth="1"/>
    <col min="6" max="6" width="18.75" customWidth="1"/>
  </cols>
  <sheetData>
    <row r="1" spans="1:6">
      <c r="A1" t="s">
        <v>74</v>
      </c>
      <c r="D1" s="12" t="s">
        <v>62</v>
      </c>
      <c r="E1" s="12" t="s">
        <v>63</v>
      </c>
      <c r="F1" s="12" t="s">
        <v>64</v>
      </c>
    </row>
    <row r="2" spans="1:6">
      <c r="A2" s="10" t="s">
        <v>61</v>
      </c>
      <c r="B2" s="11">
        <f>あなたの所得控除情報!E5</f>
        <v>0</v>
      </c>
      <c r="D2" s="10">
        <f>IF(E2="",IF(AND(E1="",E3="")=TRUE,"",COUNTA(E$2:E2)+1),COUNTA(E$2:E2))</f>
        <v>1</v>
      </c>
      <c r="E2" s="28">
        <v>551000</v>
      </c>
      <c r="F2" s="28">
        <v>0</v>
      </c>
    </row>
    <row r="3" spans="1:6">
      <c r="A3" s="10" t="s">
        <v>62</v>
      </c>
      <c r="B3" s="11">
        <f>COUNTIF(E2:E16,"&lt;"&amp;B2)+1</f>
        <v>1</v>
      </c>
      <c r="D3" s="10">
        <f>IF(E3="",IF(AND(E2="",E4="")=TRUE,"",COUNTA(E$2:E3)+1),COUNTA(E$2:E3))</f>
        <v>2</v>
      </c>
      <c r="E3" s="28">
        <v>1619000</v>
      </c>
      <c r="F3" s="28">
        <f>B2-550000</f>
        <v>-550000</v>
      </c>
    </row>
    <row r="4" spans="1:6">
      <c r="A4" s="10" t="s">
        <v>64</v>
      </c>
      <c r="B4" s="14">
        <f>INDEX(D2:F16,B3,3)</f>
        <v>0</v>
      </c>
      <c r="D4" s="10">
        <f>IF(E4="",IF(AND(E3="",E5="")=TRUE,"",COUNTA(E$2:E4)+1),COUNTA(E$2:E4))</f>
        <v>3</v>
      </c>
      <c r="E4" s="28">
        <v>1620000</v>
      </c>
      <c r="F4" s="28">
        <v>1069000</v>
      </c>
    </row>
    <row r="5" spans="1:6">
      <c r="D5" s="10">
        <f>IF(E5="",IF(AND(E4="",E6="")=TRUE,"",COUNTA(E$2:E5)+1),COUNTA(E$2:E5))</f>
        <v>4</v>
      </c>
      <c r="E5" s="28">
        <v>1622000</v>
      </c>
      <c r="F5" s="28">
        <v>1070000</v>
      </c>
    </row>
    <row r="6" spans="1:6">
      <c r="A6" t="s">
        <v>340</v>
      </c>
      <c r="D6" s="10">
        <f>IF(E6="",IF(AND(E5="",E7="")=TRUE,"",COUNTA(E$2:E6)+1),COUNTA(E$2:E6))</f>
        <v>5</v>
      </c>
      <c r="E6" s="28">
        <v>1624000</v>
      </c>
      <c r="F6" s="28">
        <v>1072000</v>
      </c>
    </row>
    <row r="7" spans="1:6">
      <c r="A7" s="10" t="s">
        <v>341</v>
      </c>
      <c r="B7" s="10" t="s">
        <v>342</v>
      </c>
      <c r="D7" s="10">
        <f>IF(E7="",IF(AND(E6="",E8="")=TRUE,"",COUNTA(E$2:E7)+1),COUNTA(E$2:E7))</f>
        <v>6</v>
      </c>
      <c r="E7" s="28">
        <v>1628000</v>
      </c>
      <c r="F7" s="28">
        <v>1074000</v>
      </c>
    </row>
    <row r="8" spans="1:6">
      <c r="A8" s="18" t="s">
        <v>338</v>
      </c>
      <c r="B8" s="10">
        <f>IF(あなたの所得控除情報!E36="特別障害",1,0)+SUM(あなたの所得控除情報!E38:E39)</f>
        <v>0</v>
      </c>
      <c r="D8" s="10">
        <f>IF(E8="",IF(AND(E7="",E9="")=TRUE,"",COUNTA(E$2:E8)+1),COUNTA(E$2:E8))</f>
        <v>7</v>
      </c>
      <c r="E8" s="28">
        <v>1800000</v>
      </c>
      <c r="F8" s="28">
        <f>ROUNDDOWN(B2/4,-3)*2.4+100000</f>
        <v>100000</v>
      </c>
    </row>
    <row r="9" spans="1:6">
      <c r="A9" s="18" t="s">
        <v>339</v>
      </c>
      <c r="B9" s="10">
        <f>SUM(あなたの所得控除情報!E13:E15)</f>
        <v>0</v>
      </c>
      <c r="D9" s="10">
        <f>IF(E9="",IF(AND(E8="",E10="")=TRUE,"",COUNTA(E$2:E9)+1),COUNTA(E$2:E9))</f>
        <v>8</v>
      </c>
      <c r="E9" s="28">
        <v>3600000</v>
      </c>
      <c r="F9" s="28">
        <f>ROUNDDOWN(B2/4,-3)*2.8-80000</f>
        <v>-80000</v>
      </c>
    </row>
    <row r="10" spans="1:6">
      <c r="A10" s="24" t="s">
        <v>343</v>
      </c>
      <c r="B10" s="11">
        <f>IF(SUM(B8:B9)&gt;0,MIN(B2,10000000),0)</f>
        <v>0</v>
      </c>
      <c r="D10" s="10">
        <f>IF(E10="",IF(AND(E9="",E11="")=TRUE,"",COUNTA(E$2:E10)+1),COUNTA(E$2:E10))</f>
        <v>9</v>
      </c>
      <c r="E10" s="28">
        <v>6600000</v>
      </c>
      <c r="F10" s="28">
        <f>ROUNDDOWN(B2/4,-3)*3.2-440000</f>
        <v>-440000</v>
      </c>
    </row>
    <row r="11" spans="1:6">
      <c r="A11" s="24" t="s">
        <v>344</v>
      </c>
      <c r="B11" s="11">
        <f>MAX(B10-8500000,0)</f>
        <v>0</v>
      </c>
      <c r="D11" s="10">
        <f>IF(E11="",IF(AND(E10="",E12="")=TRUE,"",COUNTA(E$2:E11)+1),COUNTA(E$2:E11))</f>
        <v>10</v>
      </c>
      <c r="E11" s="28">
        <v>8500000</v>
      </c>
      <c r="F11" s="28">
        <f>ROUNDDOWN(B2*0.9,0)-1100000</f>
        <v>-1100000</v>
      </c>
    </row>
    <row r="12" spans="1:6">
      <c r="A12" s="24" t="s">
        <v>345</v>
      </c>
      <c r="B12" s="14">
        <f>-ROUNDUP(B11*0.1,0)</f>
        <v>0</v>
      </c>
      <c r="D12" s="10">
        <f>IF(E12="",IF(AND(E11="",E13="")=TRUE,"",COUNTA(E$2:E12)+1),COUNTA(E$2:E12))</f>
        <v>11</v>
      </c>
      <c r="E12" s="28"/>
      <c r="F12" s="28">
        <f>B2-1950000</f>
        <v>-1950000</v>
      </c>
    </row>
    <row r="13" spans="1:6">
      <c r="D13" s="10" t="str">
        <f>IF(E13="",IF(AND(E12="",E14="")=TRUE,"",COUNTA(E$2:E13)+1),COUNTA(E$2:E13))</f>
        <v/>
      </c>
      <c r="E13" s="28"/>
      <c r="F13" s="28"/>
    </row>
    <row r="14" spans="1:6">
      <c r="A14" t="s">
        <v>346</v>
      </c>
      <c r="D14" s="10" t="str">
        <f>IF(E14="",IF(AND(E13="",E15="")=TRUE,"",COUNTA(E$2:E14)+1),COUNTA(E$2:E14))</f>
        <v/>
      </c>
      <c r="E14" s="28"/>
      <c r="F14" s="28"/>
    </row>
    <row r="15" spans="1:6">
      <c r="A15" s="10" t="s">
        <v>341</v>
      </c>
      <c r="B15" s="10" t="s">
        <v>342</v>
      </c>
      <c r="D15" s="10" t="str">
        <f>IF(E15="",IF(AND(E14="",E16="")=TRUE,"",COUNTA(E$2:E15)+1),COUNTA(E$2:E15))</f>
        <v/>
      </c>
      <c r="E15" s="28"/>
      <c r="F15" s="28"/>
    </row>
    <row r="16" spans="1:6">
      <c r="A16" s="17" t="s">
        <v>347</v>
      </c>
      <c r="B16" s="11">
        <f>MIN(B4,100000)</f>
        <v>0</v>
      </c>
      <c r="D16" s="10" t="str">
        <f>IF(E16="",IF(AND(E15="",E17="")=TRUE,"",COUNTA(E$2:E16)+1),COUNTA(E$2:E16))</f>
        <v/>
      </c>
      <c r="E16" s="28"/>
      <c r="F16" s="28"/>
    </row>
    <row r="17" spans="1:2">
      <c r="A17" s="17" t="s">
        <v>348</v>
      </c>
      <c r="B17" s="14">
        <f ca="1">MIN(年金所得計算!B8,100000)</f>
        <v>0</v>
      </c>
    </row>
    <row r="18" spans="1:2">
      <c r="A18" s="17" t="s">
        <v>349</v>
      </c>
      <c r="B18" s="11">
        <f ca="1">IF(AND(B16&gt;0,B17&gt;0,B16+B17&gt;100000)=TRUE,-((B16+B17)-100000),0)</f>
        <v>0</v>
      </c>
    </row>
  </sheetData>
  <sheetProtection sheet="1" objects="1" scenarios="1"/>
  <phoneticPr fontId="4"/>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62F4-7E6D-4233-B4D7-4C5AC3B7A870}">
  <sheetPr>
    <tabColor theme="4" tint="0.59999389629810485"/>
  </sheetPr>
  <dimension ref="A1:Q13"/>
  <sheetViews>
    <sheetView workbookViewId="0">
      <selection activeCell="B8" sqref="B8"/>
    </sheetView>
  </sheetViews>
  <sheetFormatPr defaultRowHeight="13.5"/>
  <cols>
    <col min="1" max="1" width="18.5" customWidth="1"/>
    <col min="2" max="2" width="12.5" customWidth="1"/>
    <col min="3" max="3" width="2.5" customWidth="1"/>
    <col min="4" max="4" width="9.125" bestFit="1" customWidth="1"/>
    <col min="5" max="5" width="2.5" customWidth="1"/>
    <col min="6" max="6" width="5.25" bestFit="1" customWidth="1"/>
    <col min="7" max="8" width="11.25" customWidth="1"/>
    <col min="9" max="9" width="2.5" customWidth="1"/>
    <col min="10" max="10" width="5.25" bestFit="1" customWidth="1"/>
    <col min="11" max="11" width="12.375" customWidth="1"/>
    <col min="12" max="14" width="10.25" bestFit="1" customWidth="1"/>
  </cols>
  <sheetData>
    <row r="1" spans="1:17">
      <c r="A1" t="s">
        <v>74</v>
      </c>
      <c r="D1" s="16" t="s">
        <v>79</v>
      </c>
      <c r="F1" t="s">
        <v>75</v>
      </c>
    </row>
    <row r="2" spans="1:17">
      <c r="A2" s="10" t="s">
        <v>1</v>
      </c>
      <c r="B2" s="10">
        <f>IF(あなたの所得控除情報!E2="",60,あなたの所得控除情報!E2)</f>
        <v>60</v>
      </c>
      <c r="D2" s="29" t="str">
        <f>IF(B2&gt;=65,H2,G2)</f>
        <v>65歳未満</v>
      </c>
      <c r="F2" s="10" t="s">
        <v>78</v>
      </c>
      <c r="G2" s="10" t="s">
        <v>76</v>
      </c>
      <c r="H2" s="10" t="s">
        <v>77</v>
      </c>
      <c r="J2" s="111" t="s">
        <v>155</v>
      </c>
      <c r="K2" s="110" t="s">
        <v>63</v>
      </c>
      <c r="L2" s="111" t="s">
        <v>335</v>
      </c>
      <c r="M2" s="111"/>
      <c r="N2" s="111"/>
      <c r="O2" s="111"/>
      <c r="P2" s="111"/>
      <c r="Q2" s="111"/>
    </row>
    <row r="3" spans="1:17">
      <c r="A3" s="10" t="s">
        <v>72</v>
      </c>
      <c r="B3" s="11">
        <f>あなたの所得控除情報!E6</f>
        <v>0</v>
      </c>
      <c r="F3" s="10">
        <f>IF(AND(G3="",H3="")=TRUE,IF(AND(G4="",H4="",G2="",H2="")=TRUE,"",MAX(COUNTA(G$3:G3),COUNTA(H$3:H3))+1),MAX(COUNTA(G$3:G3),COUNTA(H$3:H3)))</f>
        <v>1</v>
      </c>
      <c r="G3" s="28">
        <v>10000000</v>
      </c>
      <c r="H3" s="28">
        <v>10000000</v>
      </c>
      <c r="J3" s="111"/>
      <c r="K3" s="110"/>
      <c r="L3" s="10">
        <v>1</v>
      </c>
      <c r="M3" s="10">
        <v>2</v>
      </c>
      <c r="N3" s="10">
        <v>3</v>
      </c>
      <c r="O3" s="10"/>
      <c r="P3" s="10"/>
      <c r="Q3" s="10"/>
    </row>
    <row r="4" spans="1:17">
      <c r="A4" s="10" t="s">
        <v>73</v>
      </c>
      <c r="B4" s="11">
        <f>申告計算!B3+申告計算!B5</f>
        <v>0</v>
      </c>
      <c r="F4" s="10">
        <f>IF(AND(G4="",H4="")=TRUE,IF(AND(G5="",H5="",G3="",H3="")=TRUE,"",MAX(COUNTA(G$3:G4),COUNTA(H$3:H4))+1),MAX(COUNTA(G$3:G4),COUNTA(H$3:H4)))</f>
        <v>2</v>
      </c>
      <c r="G4" s="28">
        <v>20000000</v>
      </c>
      <c r="H4" s="28">
        <v>20000000</v>
      </c>
      <c r="J4" s="10">
        <f>IF(K4="",IF(AND(K3="",K5="")=TRUE,"",COUNTA(K$4:K4)+1),COUNTA(K$4:K4))</f>
        <v>1</v>
      </c>
      <c r="K4" s="13">
        <v>1300000</v>
      </c>
      <c r="L4" s="13">
        <f>IF($D$2=$G$2,MAX($B$3-600000,0),MAX($B$3-1100000,0))</f>
        <v>0</v>
      </c>
      <c r="M4" s="13">
        <f>IF($D$2=$G$2,MAX($B$3-500000,0),MAX($B$3-1000000,0))</f>
        <v>0</v>
      </c>
      <c r="N4" s="13">
        <f>IF($D$2=$G$2,MAX($B$3-400000,0),MAX($B$3-900000,0))</f>
        <v>0</v>
      </c>
      <c r="O4" s="13"/>
      <c r="P4" s="13"/>
      <c r="Q4" s="13"/>
    </row>
    <row r="5" spans="1:17">
      <c r="A5" s="24" t="s">
        <v>334</v>
      </c>
      <c r="B5" s="10" t="str">
        <f>ADDRESS(3,6+IFERROR(MATCH(D2,G2:H2,0),1),4)&amp;":"&amp;ADDRESS(8,6+IFERROR(MATCH(D2,G2:H2,0),1),4)</f>
        <v>G3:G8</v>
      </c>
      <c r="F5" s="10">
        <f>IF(AND(G5="",H5="")=TRUE,IF(AND(G6="",H6="",G4="",H4="")=TRUE,"",MAX(COUNTA(G$3:G5),COUNTA(H$3:H5))+1),MAX(COUNTA(G$3:G5),COUNTA(H$3:H5)))</f>
        <v>3</v>
      </c>
      <c r="G5" s="28"/>
      <c r="H5" s="28"/>
      <c r="J5" s="10">
        <f>IF(K5="",IF(AND(K4="",K6="")=TRUE,"",COUNTA(K$4:K5)+1),COUNTA(K$4:K5))</f>
        <v>2</v>
      </c>
      <c r="K5" s="13">
        <v>3300000</v>
      </c>
      <c r="L5" s="13">
        <f>IF($D$2=$G$2,ROUNDDOWN($B$3*0.75,0)-275000,MAX($B$3-1100000,0))</f>
        <v>-275000</v>
      </c>
      <c r="M5" s="13">
        <f>IF($D$2=$G$2,ROUNDDOWN($B$3*0.75,0)-175000,MAX($B$3-1000000,0))</f>
        <v>-175000</v>
      </c>
      <c r="N5" s="13">
        <f>IF($D$2=$G$2,ROUNDDOWN($B$3*0.75,0)-75000,MAX($B$3-900000,0))</f>
        <v>-75000</v>
      </c>
      <c r="O5" s="13"/>
      <c r="P5" s="13"/>
      <c r="Q5" s="13"/>
    </row>
    <row r="6" spans="1:17">
      <c r="A6" s="17" t="s">
        <v>80</v>
      </c>
      <c r="B6" s="10">
        <f ca="1">MAX(F3:F8)-COUNTIF(INDIRECT(B5),"&gt;="&amp;B4)</f>
        <v>1</v>
      </c>
      <c r="F6" s="10" t="str">
        <f>IF(AND(G6="",H6="")=TRUE,IF(AND(G7="",H7="",G5="",H5="")=TRUE,"",MAX(COUNTA(G$3:G6),COUNTA(H$3:H6))+1),MAX(COUNTA(G$3:G6),COUNTA(H$3:H6)))</f>
        <v/>
      </c>
      <c r="G6" s="28"/>
      <c r="H6" s="28"/>
      <c r="J6" s="10">
        <f>IF(K6="",IF(AND(K5="",K7="")=TRUE,"",COUNTA(K$4:K6)+1),COUNTA(K$4:K6))</f>
        <v>3</v>
      </c>
      <c r="K6" s="13">
        <v>4100000</v>
      </c>
      <c r="L6" s="13">
        <f>ROUNDDOWN($B$3*0.75,0)-275000</f>
        <v>-275000</v>
      </c>
      <c r="M6" s="13">
        <f>ROUNDDOWN($B$3*0.75,0)-175000</f>
        <v>-175000</v>
      </c>
      <c r="N6" s="13">
        <f>ROUNDDOWN($B$3*0.75,0)-75000</f>
        <v>-75000</v>
      </c>
      <c r="O6" s="13"/>
      <c r="P6" s="13"/>
      <c r="Q6" s="13"/>
    </row>
    <row r="7" spans="1:17">
      <c r="A7" s="17" t="s">
        <v>336</v>
      </c>
      <c r="B7" s="11">
        <f>MAX(J4:J13)-COUNTIF(K4:K13,"&gt;"&amp;B3)</f>
        <v>1</v>
      </c>
      <c r="F7" s="10" t="str">
        <f>IF(AND(G7="",H7="")=TRUE,IF(AND(G8="",H8="",G6="",H6="")=TRUE,"",MAX(COUNTA(G$3:G7),COUNTA(H$3:H7))+1),MAX(COUNTA(G$3:G7),COUNTA(H$3:H7)))</f>
        <v/>
      </c>
      <c r="G7" s="28"/>
      <c r="H7" s="28"/>
      <c r="J7" s="10">
        <f>IF(K7="",IF(AND(K6="",K8="")=TRUE,"",COUNTA(K$4:K7)+1),COUNTA(K$4:K7))</f>
        <v>4</v>
      </c>
      <c r="K7" s="13">
        <v>7700000</v>
      </c>
      <c r="L7" s="13">
        <f>ROUNDDOWN($B$3*0.85,0)-685000</f>
        <v>-685000</v>
      </c>
      <c r="M7" s="13">
        <f>ROUNDDOWN($B$3*0.85,0)-585000</f>
        <v>-585000</v>
      </c>
      <c r="N7" s="13">
        <f>ROUNDDOWN($B$3*0.85,0)-485000</f>
        <v>-485000</v>
      </c>
      <c r="O7" s="13"/>
      <c r="P7" s="13"/>
      <c r="Q7" s="13"/>
    </row>
    <row r="8" spans="1:17">
      <c r="A8" s="17" t="s">
        <v>337</v>
      </c>
      <c r="B8" s="14">
        <f ca="1">INDEX(L4:Q13,B7,B6)</f>
        <v>0</v>
      </c>
      <c r="F8" s="10" t="str">
        <f>IF(AND(G8="",H8="")=TRUE,IF(AND(G9="",H9="",G7="",H7="")=TRUE,"",MAX(COUNTA(G$3:G8),COUNTA(H$3:H8))+1),MAX(COUNTA(G$3:G8),COUNTA(H$3:H8)))</f>
        <v/>
      </c>
      <c r="G8" s="28"/>
      <c r="H8" s="28"/>
      <c r="J8" s="10">
        <f>IF(K8="",IF(AND(K7="",K9="")=TRUE,"",COUNTA(K$4:K8)+1),COUNTA(K$4:K8))</f>
        <v>5</v>
      </c>
      <c r="K8" s="13">
        <v>10000000</v>
      </c>
      <c r="L8" s="13">
        <f>ROUNDDOWN($B$3*0.95,0)-1455000</f>
        <v>-1455000</v>
      </c>
      <c r="M8" s="13">
        <f>ROUNDDOWN($B$3*0.95,0)-1355000</f>
        <v>-1355000</v>
      </c>
      <c r="N8" s="13">
        <f>ROUNDDOWN($B$3*0.95,0)-1255000</f>
        <v>-1255000</v>
      </c>
      <c r="O8" s="13"/>
      <c r="P8" s="13"/>
      <c r="Q8" s="13"/>
    </row>
    <row r="9" spans="1:17">
      <c r="J9" s="10">
        <f>IF(K9="",IF(AND(K8="",K10="")=TRUE,"",COUNTA(K$4:K9)+1),COUNTA(K$4:K9))</f>
        <v>6</v>
      </c>
      <c r="K9" s="61"/>
      <c r="L9" s="13">
        <f>$B$3-1955000</f>
        <v>-1955000</v>
      </c>
      <c r="M9" s="13">
        <f>$B$3-1855000</f>
        <v>-1855000</v>
      </c>
      <c r="N9" s="13">
        <f>$B$3-1755000</f>
        <v>-1755000</v>
      </c>
      <c r="O9" s="13"/>
      <c r="P9" s="13"/>
      <c r="Q9" s="13"/>
    </row>
    <row r="10" spans="1:17">
      <c r="J10" s="10" t="str">
        <f>IF(K10="",IF(AND(K9="",K11="")=TRUE,"",COUNTA(K$4:K10)+1),COUNTA(K$4:K10))</f>
        <v/>
      </c>
      <c r="K10" s="61"/>
      <c r="L10" s="13"/>
      <c r="M10" s="13"/>
      <c r="N10" s="13"/>
      <c r="O10" s="13"/>
      <c r="P10" s="13"/>
      <c r="Q10" s="13"/>
    </row>
    <row r="11" spans="1:17">
      <c r="J11" s="10" t="str">
        <f>IF(K11="",IF(AND(K10="",K12="")=TRUE,"",COUNTA(K$4:K11)+1),COUNTA(K$4:K11))</f>
        <v/>
      </c>
      <c r="K11" s="61"/>
      <c r="L11" s="13"/>
      <c r="M11" s="13"/>
      <c r="N11" s="13"/>
      <c r="O11" s="13"/>
      <c r="P11" s="13"/>
      <c r="Q11" s="13"/>
    </row>
    <row r="12" spans="1:17">
      <c r="J12" s="10" t="str">
        <f>IF(K12="",IF(AND(K11="",K13="")=TRUE,"",COUNTA(K$4:K12)+1),COUNTA(K$4:K12))</f>
        <v/>
      </c>
      <c r="K12" s="61"/>
      <c r="L12" s="13"/>
      <c r="M12" s="13"/>
      <c r="N12" s="13"/>
      <c r="O12" s="13"/>
      <c r="P12" s="13"/>
      <c r="Q12" s="13"/>
    </row>
    <row r="13" spans="1:17">
      <c r="J13" s="10" t="str">
        <f>IF(K13="",IF(AND(K12="",K14="")=TRUE,"",COUNTA(K$4:K13)+1),COUNTA(K$4:K13))</f>
        <v/>
      </c>
      <c r="K13" s="61"/>
      <c r="L13" s="13"/>
      <c r="M13" s="13"/>
      <c r="N13" s="13"/>
      <c r="O13" s="13"/>
      <c r="P13" s="13"/>
      <c r="Q13" s="13"/>
    </row>
  </sheetData>
  <sheetProtection sheet="1" objects="1" scenarios="1"/>
  <mergeCells count="3">
    <mergeCell ref="K2:K3"/>
    <mergeCell ref="J2:J3"/>
    <mergeCell ref="L2:Q2"/>
  </mergeCells>
  <phoneticPr fontId="4"/>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DA6D-7FFA-4E6C-A1CA-AC942488E744}">
  <sheetPr>
    <tabColor theme="4" tint="0.59999389629810485"/>
  </sheetPr>
  <dimension ref="A1:Q10"/>
  <sheetViews>
    <sheetView workbookViewId="0">
      <selection activeCell="E11" sqref="E11"/>
    </sheetView>
  </sheetViews>
  <sheetFormatPr defaultRowHeight="13.5"/>
  <cols>
    <col min="1" max="1" width="5.25" bestFit="1" customWidth="1"/>
    <col min="2" max="2" width="11.25" customWidth="1"/>
    <col min="3" max="3" width="2.5" customWidth="1"/>
    <col min="4" max="4" width="5.25" bestFit="1" customWidth="1"/>
    <col min="5" max="5" width="11.25" customWidth="1"/>
    <col min="6" max="6" width="2.5" customWidth="1"/>
    <col min="7" max="7" width="5.25" bestFit="1" customWidth="1"/>
    <col min="8" max="8" width="11.25" customWidth="1"/>
    <col min="9" max="9" width="2.5" customWidth="1"/>
    <col min="10" max="10" width="5.25" bestFit="1" customWidth="1"/>
    <col min="11" max="11" width="11.25" customWidth="1"/>
    <col min="12" max="12" width="2.5" customWidth="1"/>
    <col min="13" max="13" width="5.25" bestFit="1" customWidth="1"/>
    <col min="14" max="14" width="11.25" customWidth="1"/>
    <col min="15" max="15" width="2.5" customWidth="1"/>
    <col min="16" max="16" width="5.25" bestFit="1" customWidth="1"/>
    <col min="17" max="17" width="11.25" customWidth="1"/>
  </cols>
  <sheetData>
    <row r="1" spans="1:17">
      <c r="A1" t="s">
        <v>104</v>
      </c>
      <c r="J1" t="s">
        <v>105</v>
      </c>
    </row>
    <row r="2" spans="1:17">
      <c r="A2" t="s">
        <v>81</v>
      </c>
      <c r="D2" t="s">
        <v>94</v>
      </c>
      <c r="G2" t="s">
        <v>95</v>
      </c>
      <c r="J2" t="s">
        <v>81</v>
      </c>
      <c r="M2" t="s">
        <v>94</v>
      </c>
      <c r="P2" t="s">
        <v>95</v>
      </c>
    </row>
    <row r="3" spans="1:17">
      <c r="A3" s="10" t="s">
        <v>82</v>
      </c>
      <c r="B3" s="10" t="s">
        <v>89</v>
      </c>
      <c r="D3" s="10" t="s">
        <v>82</v>
      </c>
      <c r="E3" s="10" t="s">
        <v>89</v>
      </c>
      <c r="G3" s="10" t="s">
        <v>82</v>
      </c>
      <c r="H3" s="10" t="s">
        <v>89</v>
      </c>
      <c r="J3" s="10" t="s">
        <v>82</v>
      </c>
      <c r="K3" s="10" t="s">
        <v>89</v>
      </c>
      <c r="M3" s="10" t="s">
        <v>82</v>
      </c>
      <c r="N3" s="10" t="s">
        <v>89</v>
      </c>
      <c r="P3" s="10" t="s">
        <v>82</v>
      </c>
      <c r="Q3" s="10" t="s">
        <v>89</v>
      </c>
    </row>
    <row r="4" spans="1:17">
      <c r="A4" s="10" t="s">
        <v>83</v>
      </c>
      <c r="B4" s="14">
        <f>あなたの所得控除情報!E25</f>
        <v>0</v>
      </c>
      <c r="D4" s="10" t="s">
        <v>84</v>
      </c>
      <c r="E4" s="14">
        <f>あなたの所得控除情報!E27</f>
        <v>0</v>
      </c>
      <c r="G4" s="10"/>
      <c r="H4" s="14"/>
      <c r="J4" s="10" t="s">
        <v>106</v>
      </c>
      <c r="K4" s="14">
        <f>あなたの所得控除情報!E25</f>
        <v>0</v>
      </c>
      <c r="M4" s="10" t="s">
        <v>111</v>
      </c>
      <c r="N4" s="14">
        <f>あなたの所得控除情報!E27</f>
        <v>0</v>
      </c>
      <c r="P4" s="17"/>
      <c r="Q4" s="19"/>
    </row>
    <row r="5" spans="1:17">
      <c r="A5" s="10" t="s">
        <v>85</v>
      </c>
      <c r="B5" s="28">
        <f>MIN(IF(B4&lt;=25000,B4,IF(B4&lt;=50000,ROUNDUP(B4*0.5+12500,0),ROUNDUP(B4*0.25+25000,0))),50000)</f>
        <v>0</v>
      </c>
      <c r="D5" s="10" t="s">
        <v>90</v>
      </c>
      <c r="E5" s="28">
        <f>MIN(IF(E4&lt;=25000,E4,IF(E4&lt;=50000,ROUNDUP(E4*0.5+12500,0),ROUNDUP(E4*0.25+25000,0))),50000)</f>
        <v>0</v>
      </c>
      <c r="G5" s="10"/>
      <c r="H5" s="14"/>
      <c r="J5" s="10" t="s">
        <v>107</v>
      </c>
      <c r="K5" s="28">
        <f>MIN(IF(K4&lt;=15000,K4,IF(K4&lt;=40000,ROUNDUP(K4*0.5+7500,0),ROUNDUP(K4*0.25+17500,0))),35000)</f>
        <v>0</v>
      </c>
      <c r="M5" s="10" t="s">
        <v>112</v>
      </c>
      <c r="N5" s="28">
        <f>MIN(IF(N4&lt;=15000,N4,IF(N4&lt;=40000,ROUNDUP(N4*0.5+7500,0),ROUNDUP(N4*0.25+17500,0))),35000)</f>
        <v>0</v>
      </c>
      <c r="P5" s="17"/>
      <c r="Q5" s="19"/>
    </row>
    <row r="6" spans="1:17">
      <c r="A6" s="10" t="s">
        <v>86</v>
      </c>
      <c r="B6" s="14">
        <f>あなたの所得控除情報!E24</f>
        <v>0</v>
      </c>
      <c r="D6" s="10" t="s">
        <v>91</v>
      </c>
      <c r="E6" s="14">
        <f>あなたの所得控除情報!E26</f>
        <v>0</v>
      </c>
      <c r="G6" s="10" t="s">
        <v>96</v>
      </c>
      <c r="H6" s="14">
        <f>あなたの所得控除情報!E28</f>
        <v>0</v>
      </c>
      <c r="J6" s="10" t="s">
        <v>108</v>
      </c>
      <c r="K6" s="14">
        <f>あなたの所得控除情報!E24</f>
        <v>0</v>
      </c>
      <c r="M6" s="10" t="s">
        <v>113</v>
      </c>
      <c r="N6" s="14">
        <f>あなたの所得控除情報!E26</f>
        <v>0</v>
      </c>
      <c r="P6" s="10" t="s">
        <v>116</v>
      </c>
      <c r="Q6" s="14">
        <f>あなたの所得控除情報!E28</f>
        <v>0</v>
      </c>
    </row>
    <row r="7" spans="1:17">
      <c r="A7" s="10" t="s">
        <v>87</v>
      </c>
      <c r="B7" s="28">
        <f>MIN(IF(B6&lt;=20000,B6,IF(B6&lt;=40000,ROUNDUP(B6*0.5+10000,0),ROUNDUP(B6*0.25+20000,0))),40000)</f>
        <v>0</v>
      </c>
      <c r="D7" s="10" t="s">
        <v>92</v>
      </c>
      <c r="E7" s="28">
        <f>MIN(IF(E6&lt;=20000,E6,IF(E6&lt;=40000,ROUNDUP(E6*0.5+10000,0),ROUNDUP(E6*0.25+20000,0))),40000)</f>
        <v>0</v>
      </c>
      <c r="G7" s="10" t="s">
        <v>97</v>
      </c>
      <c r="H7" s="28">
        <f>MIN(IF(H6&lt;=20000,H6,IF(H6&lt;=40000,ROUNDUP(H6*0.5+10000,0),ROUNDUP(H6*0.25+20000,0))),40000)</f>
        <v>0</v>
      </c>
      <c r="J7" s="10" t="s">
        <v>109</v>
      </c>
      <c r="K7" s="28">
        <f>MIN(IF(K6&lt;=12000,K6,IF(K6&lt;=32000,ROUNDUP(K6*0.5+6000,0),ROUNDUP(K6*0.25+14000,0))),28000)</f>
        <v>0</v>
      </c>
      <c r="M7" s="10" t="s">
        <v>114</v>
      </c>
      <c r="N7" s="28">
        <f>MIN(IF(N6&lt;=12000,N6,IF(N6&lt;=32000,ROUNDUP(N6*0.5+6000,0),ROUNDUP(N6*0.25+14000,0))),28000)</f>
        <v>0</v>
      </c>
      <c r="P7" s="10" t="s">
        <v>117</v>
      </c>
      <c r="Q7" s="28">
        <f>MIN(IF(Q6&lt;=12000,Q6,IF(Q6&lt;=32000,ROUNDUP(Q6*0.5+6000,0),ROUNDUP(Q6*0.25+14000,0))),28000)</f>
        <v>0</v>
      </c>
    </row>
    <row r="8" spans="1:17">
      <c r="A8" s="10" t="s">
        <v>88</v>
      </c>
      <c r="B8" s="31">
        <f>IF(B5&gt;MIN(B5+B7,40000),B5,MIN(B5+B7,40000))</f>
        <v>0</v>
      </c>
      <c r="D8" s="10" t="s">
        <v>93</v>
      </c>
      <c r="E8" s="31">
        <f>IF(E5&gt;MIN(E5+E7,40000),E5,MIN(E5+E7,40000))</f>
        <v>0</v>
      </c>
      <c r="G8" s="10" t="s">
        <v>98</v>
      </c>
      <c r="H8" s="31">
        <f>MIN(H5+H7,40000)</f>
        <v>0</v>
      </c>
      <c r="J8" s="10" t="s">
        <v>110</v>
      </c>
      <c r="K8" s="31">
        <f>IF(K5&gt;MIN(K5+K7,28000),K5,MIN(K5+K7,28000))</f>
        <v>0</v>
      </c>
      <c r="M8" s="10" t="s">
        <v>115</v>
      </c>
      <c r="N8" s="31">
        <f>IF(N5&gt;MIN(N5+N7,28000),N5,MIN(N5+N7,28000))</f>
        <v>0</v>
      </c>
      <c r="P8" s="10" t="s">
        <v>118</v>
      </c>
      <c r="Q8" s="31">
        <f>IF(Q5&gt;MIN(Q5+Q7,28000),Q5,MIN(Q5+Q7,28000))</f>
        <v>0</v>
      </c>
    </row>
    <row r="10" spans="1:17">
      <c r="G10" s="10" t="s">
        <v>99</v>
      </c>
      <c r="H10" s="31">
        <f>MIN(B8+E8+H8,120000)</f>
        <v>0</v>
      </c>
      <c r="P10" s="10" t="s">
        <v>99</v>
      </c>
      <c r="Q10" s="31">
        <f>MIN(K8+N8+Q8,70000)</f>
        <v>0</v>
      </c>
    </row>
  </sheetData>
  <sheetProtection sheet="1" objects="1" scenarios="1"/>
  <phoneticPr fontId="4"/>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FCB7B-7105-4242-8180-0BCF7F5BEE74}">
  <sheetPr>
    <tabColor theme="4" tint="0.59999389629810485"/>
  </sheetPr>
  <dimension ref="A1:E14"/>
  <sheetViews>
    <sheetView workbookViewId="0">
      <selection activeCell="B9" sqref="B9"/>
    </sheetView>
  </sheetViews>
  <sheetFormatPr defaultRowHeight="13.5"/>
  <cols>
    <col min="1" max="1" width="5.25" bestFit="1" customWidth="1"/>
    <col min="2" max="2" width="11" bestFit="1" customWidth="1"/>
    <col min="3" max="3" width="2.5" customWidth="1"/>
    <col min="4" max="4" width="5.25" bestFit="1" customWidth="1"/>
    <col min="5" max="5" width="11" bestFit="1" customWidth="1"/>
  </cols>
  <sheetData>
    <row r="1" spans="1:5">
      <c r="A1" t="s">
        <v>104</v>
      </c>
      <c r="D1" t="s">
        <v>105</v>
      </c>
    </row>
    <row r="2" spans="1:5">
      <c r="A2" s="10" t="s">
        <v>82</v>
      </c>
      <c r="B2" s="10" t="s">
        <v>125</v>
      </c>
      <c r="D2" s="10" t="s">
        <v>82</v>
      </c>
      <c r="E2" s="10" t="s">
        <v>125</v>
      </c>
    </row>
    <row r="3" spans="1:5">
      <c r="A3" s="10" t="s">
        <v>83</v>
      </c>
      <c r="B3" s="14">
        <f>あなたの所得控除情報!E29</f>
        <v>0</v>
      </c>
      <c r="D3" s="10" t="s">
        <v>106</v>
      </c>
      <c r="E3" s="14">
        <f>あなたの所得控除情報!E29+あなたの所得控除情報!E30</f>
        <v>0</v>
      </c>
    </row>
    <row r="4" spans="1:5">
      <c r="A4" s="10" t="s">
        <v>84</v>
      </c>
      <c r="B4" s="14">
        <f>あなたの所得控除情報!E30</f>
        <v>0</v>
      </c>
      <c r="D4" s="10" t="s">
        <v>107</v>
      </c>
      <c r="E4" s="14">
        <f>あなたの所得控除情報!E31+あなたの所得控除情報!E32</f>
        <v>0</v>
      </c>
    </row>
    <row r="5" spans="1:5">
      <c r="A5" s="10" t="s">
        <v>85</v>
      </c>
      <c r="B5" s="14">
        <f>あなたの所得控除情報!E31</f>
        <v>0</v>
      </c>
      <c r="D5" s="10" t="s">
        <v>108</v>
      </c>
      <c r="E5" s="28">
        <f>MIN(ROUNDUP(E3*0.5,0),25000)</f>
        <v>0</v>
      </c>
    </row>
    <row r="6" spans="1:5">
      <c r="A6" s="10" t="s">
        <v>90</v>
      </c>
      <c r="B6" s="14">
        <f>あなたの所得控除情報!E32</f>
        <v>0</v>
      </c>
      <c r="D6" s="10" t="s">
        <v>109</v>
      </c>
      <c r="E6" s="28">
        <f>MIN(IF(E4&lt;=500,E4,ROUNDUP(E4*0.5+2500,0)),10000)</f>
        <v>0</v>
      </c>
    </row>
    <row r="7" spans="1:5">
      <c r="A7" s="10" t="s">
        <v>86</v>
      </c>
      <c r="B7" s="14">
        <f>B3+B4</f>
        <v>0</v>
      </c>
    </row>
    <row r="8" spans="1:5">
      <c r="A8" s="10" t="s">
        <v>91</v>
      </c>
      <c r="B8" s="14">
        <f>B5+B6</f>
        <v>0</v>
      </c>
      <c r="D8" s="10" t="s">
        <v>110</v>
      </c>
      <c r="E8" s="28">
        <f>MIN(E5+E6,25000)</f>
        <v>0</v>
      </c>
    </row>
    <row r="9" spans="1:5">
      <c r="A9" s="10" t="s">
        <v>96</v>
      </c>
      <c r="B9" s="28">
        <f>MIN(IF(B6&lt;=10000,B6,ROUNDUP(B6*0.5+5000,0)),15000)</f>
        <v>0</v>
      </c>
    </row>
    <row r="10" spans="1:5">
      <c r="A10" s="10" t="s">
        <v>87</v>
      </c>
      <c r="B10" s="28">
        <f>MIN(B7+B9,50000)</f>
        <v>0</v>
      </c>
    </row>
    <row r="11" spans="1:5">
      <c r="A11" s="10" t="s">
        <v>92</v>
      </c>
      <c r="B11" s="28">
        <f>MIN(IF(B8&lt;=10000,B8,ROUNDUP(B8*0.5+5000,0)),15000)</f>
        <v>0</v>
      </c>
    </row>
    <row r="12" spans="1:5">
      <c r="A12" s="10" t="s">
        <v>97</v>
      </c>
      <c r="B12" s="28">
        <f>MIN(B3+B11,50000)</f>
        <v>0</v>
      </c>
    </row>
    <row r="14" spans="1:5">
      <c r="A14" s="10" t="s">
        <v>88</v>
      </c>
      <c r="B14" s="31">
        <f>MAX(B10,B12)</f>
        <v>0</v>
      </c>
    </row>
  </sheetData>
  <sheetProtection sheet="1" objects="1" scenarios="1"/>
  <phoneticPr fontId="4"/>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E1072-A3CE-4289-AF53-92BF68556B01}">
  <sheetPr>
    <tabColor theme="4" tint="0.59999389629810485"/>
  </sheetPr>
  <dimension ref="A1:H8"/>
  <sheetViews>
    <sheetView workbookViewId="0">
      <selection activeCell="C18" sqref="C18"/>
    </sheetView>
  </sheetViews>
  <sheetFormatPr defaultRowHeight="13.5"/>
  <cols>
    <col min="1" max="1" width="15" customWidth="1"/>
    <col min="2" max="2" width="12.5" customWidth="1"/>
    <col min="4" max="8" width="12.5" customWidth="1"/>
  </cols>
  <sheetData>
    <row r="1" spans="1:8">
      <c r="A1" t="s">
        <v>128</v>
      </c>
      <c r="D1" t="s">
        <v>129</v>
      </c>
    </row>
    <row r="2" spans="1:8">
      <c r="A2" s="18" t="s">
        <v>126</v>
      </c>
      <c r="B2" s="18" t="s">
        <v>127</v>
      </c>
      <c r="D2" s="18" t="s">
        <v>126</v>
      </c>
      <c r="E2" s="18" t="s">
        <v>130</v>
      </c>
      <c r="F2" s="22" t="s">
        <v>131</v>
      </c>
      <c r="G2" s="22" t="s">
        <v>132</v>
      </c>
      <c r="H2" s="22" t="s">
        <v>133</v>
      </c>
    </row>
    <row r="3" spans="1:8">
      <c r="A3" s="18" t="s">
        <v>2</v>
      </c>
      <c r="B3" s="18" t="str">
        <f>IF(あなたの所得控除情報!E3="","男",あなたの所得控除情報!E3)</f>
        <v>男</v>
      </c>
      <c r="D3" s="18" t="s">
        <v>39</v>
      </c>
      <c r="E3" s="29" t="str">
        <f ca="1">IF(OR(B4&gt;5000000,B5="",B7="")=TRUE,"NG","OK")</f>
        <v>NG</v>
      </c>
      <c r="F3" s="28">
        <v>350000</v>
      </c>
      <c r="G3" s="28">
        <v>300000</v>
      </c>
      <c r="H3" s="28">
        <f>IF(B3="男",10000,50000)</f>
        <v>10000</v>
      </c>
    </row>
    <row r="4" spans="1:8">
      <c r="A4" s="18" t="s">
        <v>12</v>
      </c>
      <c r="B4" s="20">
        <f ca="1">申告計算!B8</f>
        <v>0</v>
      </c>
      <c r="D4" s="18" t="s">
        <v>40</v>
      </c>
      <c r="E4" s="29" t="str">
        <f ca="1">IF(OR(B4&gt;5000000,E3="OK")=TRUE,"NG",IF(B3="女",IF(OR(AND(B5&lt;&gt;"",B7&lt;&gt;"")=TRUE,AND(B6&lt;&gt;"",B7&lt;&gt;"")=TRUE,B6="死別",B6="生死不明")=TRUE,"OK","NG"),IF(AND(B5&lt;&gt;"",B7&lt;&gt;"")=TRUE,"OK","NG")))</f>
        <v>NG</v>
      </c>
      <c r="F4" s="28">
        <v>270000</v>
      </c>
      <c r="G4" s="28">
        <v>260000</v>
      </c>
      <c r="H4" s="28">
        <v>10000</v>
      </c>
    </row>
    <row r="5" spans="1:8">
      <c r="A5" s="18" t="s">
        <v>39</v>
      </c>
      <c r="B5" s="18" t="str">
        <f>IF(あなたの所得控除情報!E33="","",あなたの所得控除情報!E33)</f>
        <v/>
      </c>
    </row>
    <row r="6" spans="1:8">
      <c r="A6" s="18" t="s">
        <v>40</v>
      </c>
      <c r="B6" s="18" t="str">
        <f>IF(あなたの所得控除情報!E34="","",あなたの所得控除情報!E34)</f>
        <v/>
      </c>
      <c r="D6" s="18"/>
      <c r="E6" s="18" t="s">
        <v>70</v>
      </c>
      <c r="F6" s="18" t="s">
        <v>71</v>
      </c>
      <c r="G6" s="18" t="s">
        <v>133</v>
      </c>
    </row>
    <row r="7" spans="1:8">
      <c r="A7" s="18" t="s">
        <v>41</v>
      </c>
      <c r="B7" s="18" t="str">
        <f>IF(あなたの所得控除情報!E35="","",あなたの所得控除情報!E35)</f>
        <v/>
      </c>
      <c r="D7" s="18" t="s">
        <v>120</v>
      </c>
      <c r="E7" s="14">
        <f ca="1">IF($E3="OK",F3,0)</f>
        <v>0</v>
      </c>
      <c r="F7" s="14">
        <f t="shared" ref="F7:G7" ca="1" si="0">IF($E3="OK",G3,0)</f>
        <v>0</v>
      </c>
      <c r="G7" s="14">
        <f t="shared" ca="1" si="0"/>
        <v>0</v>
      </c>
    </row>
    <row r="8" spans="1:8">
      <c r="D8" s="21" t="s">
        <v>121</v>
      </c>
      <c r="E8" s="14">
        <f ca="1">IF($E4="OK",F4,0)</f>
        <v>0</v>
      </c>
      <c r="F8" s="14">
        <f t="shared" ref="F8:G8" ca="1" si="1">IF($E4="OK",G4,0)</f>
        <v>0</v>
      </c>
      <c r="G8" s="14">
        <f t="shared" ca="1" si="1"/>
        <v>0</v>
      </c>
    </row>
  </sheetData>
  <sheetProtection sheet="1" objects="1" scenarios="1"/>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使い方</vt:lpstr>
      <vt:lpstr>あなたの所得控除情報</vt:lpstr>
      <vt:lpstr>申告計算</vt:lpstr>
      <vt:lpstr>シミュレーター</vt:lpstr>
      <vt:lpstr>給与所得計算</vt:lpstr>
      <vt:lpstr>年金所得計算</vt:lpstr>
      <vt:lpstr>生命保険料控除</vt:lpstr>
      <vt:lpstr>地震保険料控除</vt:lpstr>
      <vt:lpstr>寡婦ひとり親控除</vt:lpstr>
      <vt:lpstr>障害者控除</vt:lpstr>
      <vt:lpstr>勤労学生控除</vt:lpstr>
      <vt:lpstr>配偶者控除(配偶者特別控除)</vt:lpstr>
      <vt:lpstr>扶養控除</vt:lpstr>
      <vt:lpstr>基礎控除</vt:lpstr>
      <vt:lpstr>医療費控除</vt:lpstr>
      <vt:lpstr>寄附金控除</vt:lpstr>
      <vt:lpstr>所得税率管理</vt:lpstr>
      <vt:lpstr>申告特例控除率管理</vt:lpstr>
      <vt:lpstr>住民税非課税判定額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A3355</dc:creator>
  <cp:lastModifiedBy>A3355</cp:lastModifiedBy>
  <cp:lastPrinted>2023-07-26T00:48:33Z</cp:lastPrinted>
  <dcterms:created xsi:type="dcterms:W3CDTF">2023-07-14T00:10:53Z</dcterms:created>
  <dcterms:modified xsi:type="dcterms:W3CDTF">2023-08-07T02:43:00Z</dcterms:modified>
</cp:coreProperties>
</file>